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p511+DGVoyKU2aCddlTcVm3p+WB1zagGvDqU7mUhm3ade2vLo7p9MUrYLDVw8hT/HYxeHwxJLugfIWwHNkAg7w==" workbookSaltValue="J+yeQKRCdymznqkmKmtOk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30" i="17" s="1"/>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F11" i="16" s="1"/>
  <c r="BL11" i="16" s="1"/>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K26" i="2"/>
  <c r="N26" i="2"/>
  <c r="M23" i="2"/>
  <c r="K30" i="2"/>
  <c r="F30" i="17"/>
  <c r="F26" i="17"/>
  <c r="F14" i="7"/>
  <c r="T14" i="20"/>
  <c r="BB26" i="13"/>
  <c r="BD9" i="8"/>
  <c r="AH14" i="16"/>
  <c r="AO14" i="21"/>
  <c r="AP14" i="16"/>
  <c r="T23" i="17"/>
  <c r="T26" i="17" s="1"/>
  <c r="T30" i="17" s="1"/>
  <c r="U26" i="16"/>
  <c r="BG16"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L17" i="14" l="1"/>
  <c r="Z14" i="17"/>
  <c r="BH11" i="16"/>
  <c r="T9" i="11"/>
  <c r="BH16" i="11"/>
  <c r="BF29" i="11"/>
  <c r="BF22" i="11"/>
  <c r="BM13" i="11"/>
  <c r="BL11" i="11"/>
  <c r="BL21" i="11"/>
  <c r="T18" i="16"/>
  <c r="BG21" i="11"/>
  <c r="BV28" i="16"/>
  <c r="BW13" i="20"/>
  <c r="BU29" i="17"/>
  <c r="BW11" i="20"/>
  <c r="BW28" i="20"/>
  <c r="S11" i="17"/>
  <c r="S25" i="17"/>
  <c r="P16" i="17"/>
  <c r="BH25" i="16"/>
  <c r="BJ10" i="11"/>
  <c r="BF16" i="11"/>
  <c r="BI22" i="11"/>
  <c r="L10" i="2"/>
  <c r="L18" i="2"/>
  <c r="S20" i="14"/>
  <c r="V20" i="14" s="1"/>
  <c r="P18" i="17"/>
  <c r="BK19" i="11"/>
  <c r="BJ21" i="11"/>
  <c r="BI16" i="11"/>
  <c r="BG9" i="11"/>
  <c r="R18" i="20"/>
  <c r="R23" i="20" s="1"/>
  <c r="BK18" i="11"/>
  <c r="AP18" i="20"/>
  <c r="BU25" i="17"/>
  <c r="BV13" i="16"/>
  <c r="BV21" i="16"/>
  <c r="BV11" i="16"/>
  <c r="S21" i="17"/>
  <c r="BU13" i="17"/>
  <c r="BV20" i="16"/>
  <c r="AZ11" i="11"/>
  <c r="BF12" i="11"/>
  <c r="BK20" i="11"/>
  <c r="Q16" i="17"/>
  <c r="BL22" i="11"/>
  <c r="BK10" i="11"/>
  <c r="X21" i="20"/>
  <c r="L16" i="2"/>
  <c r="L9" i="2"/>
  <c r="V25" i="16"/>
  <c r="X16" i="16"/>
  <c r="X23" i="16" s="1"/>
  <c r="BE17" i="13"/>
  <c r="R13" i="17"/>
  <c r="S13" i="17" s="1"/>
  <c r="P13" i="14"/>
  <c r="BF16" i="13"/>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BJ23" i="11" s="1"/>
  <c r="R10" i="21"/>
  <c r="R14" i="21" s="1"/>
  <c r="AP22" i="20"/>
  <c r="BJ20" i="11"/>
  <c r="AP16" i="20"/>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AZ14" i="11"/>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AL31" i="21" l="1"/>
  <c r="AA31" i="11"/>
  <c r="E31" i="2"/>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<sst xmlns="http://schemas.openxmlformats.org/spreadsheetml/2006/main" count="2682" uniqueCount="1193">
  <si>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</si>
  <si>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</si>
  <si>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</si>
  <si>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</si>
  <si>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</si>
  <si>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</si>
  <si>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</si>
  <si>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</si>
  <si>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</si>
  <si>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</si>
  <si>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</si>
  <si>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</si>
  <si>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</si>
  <si>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</si>
  <si>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</si>
  <si>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</si>
  <si>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</si>
  <si>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</si>
  <si>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</si>
  <si>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</si>
  <si>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</si>
  <si>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</si>
  <si>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</si>
  <si>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</si>
  <si>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</si>
  <si>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</si>
  <si>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</si>
  <si>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</si>
  <si>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</si>
  <si>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</si>
  <si>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</si>
  <si>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</si>
  <si>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</si>
  <si>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</si>
  <si>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</si>
  <si>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</si>
  <si>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</si>
  <si>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</si>
  <si>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</si>
  <si>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</si>
  <si>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</si>
  <si>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</si>
  <si>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</si>
  <si>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</si>
  <si>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</si>
  <si>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</si>
  <si>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</si>
  <si>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</si>
  <si>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</si>
  <si>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</si>
  <si>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</si>
  <si>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</si>
  <si>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</si>
  <si>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</si>
  <si>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</si>
  <si>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</si>
  <si>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</si>
  <si>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</si>
  <si>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</si>
  <si>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</si>
  <si>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</si>
  <si>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</si>
  <si>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</si>
  <si>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</si>
  <si>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</si>
  <si>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</si>
  <si>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</si>
  <si>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</si>
  <si>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</si>
  <si>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</si>
  <si>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</si>
  <si>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</si>
  <si>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</si>
  <si>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</si>
  <si>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</si>
  <si>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</si>
  <si>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</si>
  <si>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</si>
  <si>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</si>
  <si>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</si>
  <si>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</si>
  <si>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</si>
  <si>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</si>
  <si>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</si>
  <si>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</si>
  <si>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</si>
  <si>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</si>
  <si>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</si>
  <si>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</si>
  <si>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</si>
  <si>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</si>
  <si>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</si>
  <si>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</si>
  <si>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</si>
  <si>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</si>
  <si>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</si>
  <si>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</si>
  <si>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</si>
  <si>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</si>
  <si>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</si>
  <si>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</si>
  <si>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</si>
  <si>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</si>
  <si>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</si>
  <si>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</si>
  <si>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</si>
  <si>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</si>
  <si>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</si>
  <si>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</si>
  <si>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</si>
  <si>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</si>
  <si>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</si>
  <si>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</si>
  <si>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</si>
  <si>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</si>
  <si>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</si>
  <si>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</si>
  <si>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</si>
  <si>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</si>
  <si>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</si>
  <si>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</si>
  <si>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</si>
  <si>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</si>
  <si>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</si>
  <si>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</si>
  <si>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</si>
  <si>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</si>
  <si>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</si>
  <si>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</si>
  <si>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</si>
  <si>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</si>
  <si>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</si>
  <si>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</si>
  <si>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</si>
  <si>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</si>
  <si>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</si>
  <si>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</si>
  <si>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</si>
  <si>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</si>
  <si>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</si>
  <si>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</si>
  <si>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</si>
  <si>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</si>
  <si>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</si>
  <si>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</si>
  <si>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</si>
  <si>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</si>
  <si>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</si>
  <si>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</si>
  <si>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</si>
  <si>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</si>
  <si>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</si>
  <si>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</si>
  <si>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</si>
  <si>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</si>
  <si>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</si>
  <si>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</si>
  <si>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</si>
  <si>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</si>
  <si>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</si>
  <si>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</si>
  <si>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</si>
  <si>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</si>
  <si>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</si>
  <si>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</si>
  <si>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</si>
  <si>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</si>
  <si>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</si>
  <si>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</si>
  <si>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</si>
  <si>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</si>
  <si>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</si>
  <si>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</si>
  <si>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</si>
  <si>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</si>
  <si>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</si>
  <si>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</si>
  <si>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</si>
  <si>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</si>
  <si>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</si>
  <si>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</si>
  <si>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</si>
  <si>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</si>
  <si>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</si>
  <si>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</si>
  <si>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</si>
  <si>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</si>
  <si>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</si>
  <si>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</si>
  <si>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</si>
  <si>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</si>
  <si>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</si>
  <si>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</si>
  <si>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</si>
  <si>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</si>
  <si>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</si>
  <si>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</si>
  <si>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</si>
  <si>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</si>
  <si>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</si>
  <si>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</si>
  <si>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</si>
  <si>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</si>
  <si>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</si>
  <si>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</si>
  <si>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</si>
  <si>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</si>
  <si>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</si>
  <si>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</si>
  <si>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</si>
  <si>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</si>
  <si>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</si>
  <si>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</si>
  <si>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</si>
  <si>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</si>
  <si>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</si>
  <si>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</si>
  <si>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</si>
  <si>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</si>
  <si>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</si>
  <si>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</si>
  <si>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</si>
  <si>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</si>
  <si>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</si>
  <si>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</si>
  <si>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</si>
  <si>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</si>
  <si>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</si>
  <si>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</si>
  <si>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</si>
  <si>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</si>
  <si>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</si>
  <si>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</si>
  <si>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</si>
  <si>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</si>
  <si>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</si>
  <si>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</si>
  <si>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</si>
  <si>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</si>
  <si>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</si>
  <si>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</si>
  <si>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</si>
  <si>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</si>
  <si>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</si>
  <si>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</si>
  <si>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</si>
  <si>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</si>
  <si>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</si>
  <si>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</si>
  <si>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</si>
  <si>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</si>
  <si>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</si>
  <si>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</si>
  <si>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</si>
  <si>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</si>
  <si>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</si>
  <si>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</si>
  <si>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</si>
  <si>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</si>
  <si>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</si>
  <si>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</si>
  <si>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</si>
  <si>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</si>
  <si>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</si>
  <si>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</si>
  <si>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</si>
  <si>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</si>
  <si>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</si>
  <si>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</si>
  <si>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</si>
  <si>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</si>
  <si>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</si>
  <si>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</si>
  <si>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</si>
  <si>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</si>
  <si>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</si>
  <si>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</si>
  <si>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</si>
  <si>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</si>
  <si>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</si>
  <si>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</si>
  <si>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</si>
  <si>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</si>
  <si>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</si>
  <si>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</si>
  <si>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</si>
  <si>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</si>
  <si>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</si>
  <si>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</si>
  <si>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</si>
  <si>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</si>
  <si>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</si>
  <si>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</si>
  <si>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</si>
  <si>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</si>
  <si>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</si>
  <si>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</si>
  <si>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</si>
  <si>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</si>
  <si>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</si>
  <si>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</si>
  <si>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</si>
  <si>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</si>
  <si>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</si>
  <si>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</si>
  <si>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</si>
  <si>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</si>
  <si>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</si>
  <si>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</si>
  <si>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</si>
  <si>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</si>
  <si>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</si>
  <si>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</si>
  <si>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</si>
  <si>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</si>
  <si>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</si>
  <si>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</si>
  <si>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</si>
  <si>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</si>
  <si>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</si>
  <si>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</si>
  <si>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</si>
  <si>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</si>
  <si>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</si>
  <si>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</si>
  <si>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</si>
  <si>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</si>
  <si>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</si>
  <si>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</si>
  <si>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</si>
  <si>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</si>
  <si>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</si>
  <si>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</si>
  <si>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</si>
  <si>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</si>
  <si>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</si>
  <si>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</si>
  <si>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</si>
  <si>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</si>
  <si>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</si>
  <si>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</si>
  <si>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</si>
  <si>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</si>
  <si>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</si>
  <si>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</si>
  <si>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</si>
  <si>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</si>
  <si>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</si>
  <si>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</si>
  <si>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</si>
  <si>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</si>
  <si>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</si>
  <si>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</si>
  <si>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</si>
  <si>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</si>
  <si>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</si>
  <si>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</si>
  <si>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</si>
  <si>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</si>
  <si>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</si>
  <si>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</si>
  <si>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</si>
  <si>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</si>
  <si>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</si>
  <si>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</si>
  <si>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</si>
  <si>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</si>
  <si>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</si>
  <si>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</si>
  <si>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</si>
  <si>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</si>
  <si>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</si>
  <si>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</si>
  <si>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</si>
  <si>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</si>
  <si>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</si>
  <si>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</si>
  <si>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</si>
  <si>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</si>
  <si>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</si>
  <si>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</si>
  <si>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</si>
  <si>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</si>
  <si>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</si>
  <si>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</si>
  <si>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</si>
  <si>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</si>
  <si>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</si>
  <si>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</si>
  <si>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</si>
  <si>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</si>
  <si>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</si>
  <si>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</si>
  <si>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</si>
  <si>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</si>
  <si>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</si>
  <si>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</si>
  <si>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</si>
  <si>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</si>
  <si>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</si>
  <si>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</si>
  <si>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</si>
  <si>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</si>
  <si>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</si>
  <si>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</si>
  <si>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</si>
  <si>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</si>
  <si>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</si>
  <si>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</si>
  <si>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</si>
  <si>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</si>
  <si>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</si>
  <si>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</si>
  <si>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</si>
  <si>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</si>
  <si>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</si>
  <si>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</si>
  <si>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</si>
  <si>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</si>
  <si>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</si>
  <si>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</si>
  <si>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</si>
  <si>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</si>
  <si>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</si>
  <si>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</si>
  <si>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</si>
  <si>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</si>
  <si>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</si>
  <si>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</si>
  <si>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</si>
  <si>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</si>
  <si>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</si>
  <si>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</si>
  <si>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</si>
  <si>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</si>
  <si>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</si>
  <si>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</si>
  <si>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</si>
  <si>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</si>
  <si>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</si>
  <si>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</si>
  <si>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</si>
  <si>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</si>
  <si>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</si>
  <si>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</si>
  <si>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</si>
  <si>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</si>
  <si>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</si>
  <si>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</si>
  <si>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</si>
  <si>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</si>
  <si>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</si>
  <si>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</si>
  <si>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</si>
  <si>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</si>
  <si>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</si>
  <si>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</si>
  <si>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</si>
  <si>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</si>
  <si>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</si>
  <si>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</si>
  <si>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</si>
  <si>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</si>
  <si>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</si>
  <si>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</si>
  <si>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</si>
  <si>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</si>
  <si>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</si>
  <si>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</si>
  <si>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</si>
  <si>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</si>
  <si>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</si>
  <si>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</si>
  <si>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</si>
  <si>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</si>
  <si>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</si>
  <si>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</si>
  <si>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</si>
  <si>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</si>
  <si>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</si>
  <si>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</si>
  <si>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</si>
  <si>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</si>
  <si>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</si>
  <si>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</si>
  <si>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</si>
  <si>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</si>
  <si>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</si>
  <si>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</si>
  <si>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</si>
  <si>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</si>
  <si>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</si>
  <si>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</si>
  <si>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</si>
  <si>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</si>
  <si>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</si>
  <si>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</si>
  <si>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</si>
  <si>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</si>
  <si>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</si>
  <si>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</si>
  <si>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</si>
  <si>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</si>
  <si>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</si>
  <si>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</si>
  <si>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</si>
  <si>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</si>
  <si>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</si>
  <si>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</si>
  <si>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</si>
  <si>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</si>
  <si>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</si>
  <si>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</si>
  <si>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</si>
  <si>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</si>
  <si>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</si>
  <si>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</si>
  <si>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</si>
  <si>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</si>
  <si>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</si>
  <si>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</si>
  <si>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</si>
  <si>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</si>
  <si>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</si>
  <si>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</si>
  <si>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</si>
  <si>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</si>
  <si>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</si>
  <si>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</si>
  <si>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</si>
  <si>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</si>
  <si>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</si>
  <si>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</si>
  <si>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</si>
  <si>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</si>
  <si>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</si>
  <si>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</si>
  <si>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</si>
  <si>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</si>
  <si>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</si>
  <si>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</si>
  <si>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</si>
  <si>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</si>
  <si>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</si>
  <si>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</si>
  <si>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</si>
  <si>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</si>
  <si>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</si>
  <si>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</si>
  <si>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</si>
  <si>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</si>
  <si>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</si>
  <si>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</si>
  <si>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</si>
  <si>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</si>
  <si>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</si>
  <si>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</si>
  <si>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</si>
  <si>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</si>
  <si>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</si>
  <si>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</si>
  <si>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</si>
  <si>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</si>
  <si>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</si>
  <si>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</si>
  <si>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</si>
  <si>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</si>
  <si>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</si>
  <si>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</si>
  <si>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</si>
  <si>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</si>
  <si>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</si>
  <si>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</si>
  <si>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</si>
  <si>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</si>
  <si>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</si>
  <si>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</si>
  <si>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</si>
  <si>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</si>
  <si>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</si>
  <si>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</si>
  <si>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</si>
  <si>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</si>
  <si>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</si>
  <si>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</si>
  <si>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</si>
  <si>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</si>
  <si>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</si>
  <si>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</si>
  <si>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</si>
  <si>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</si>
  <si>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</si>
  <si>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</si>
  <si>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</si>
  <si>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</si>
  <si>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</si>
  <si>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</si>
  <si>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</si>
  <si>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</si>
  <si>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</si>
  <si>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</si>
  <si>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</si>
  <si>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</si>
  <si>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</si>
  <si>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</si>
  <si>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</si>
  <si>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</si>
  <si>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</si>
  <si>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</si>
  <si>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</si>
  <si>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</si>
  <si>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</si>
  <si>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</si>
  <si>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</si>
  <si>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</si>
  <si>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</si>
  <si>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</si>
  <si>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</si>
  <si>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</si>
  <si>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</si>
  <si>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</si>
  <si>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</si>
  <si>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</si>
  <si>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</si>
  <si>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</si>
  <si>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</si>
  <si>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</si>
  <si>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</si>
  <si>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</si>
  <si>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</si>
  <si>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</si>
  <si>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</si>
  <si>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</si>
  <si>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</si>
  <si>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</si>
  <si>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</si>
  <si>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</si>
  <si>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</si>
  <si>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</si>
  <si>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</si>
  <si>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</si>
  <si>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</si>
  <si>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</si>
  <si>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</si>
  <si>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</si>
  <si>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</si>
  <si>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</si>
  <si>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</si>
  <si>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</si>
  <si>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</si>
  <si>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</si>
  <si>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</si>
  <si>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</si>
  <si>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</si>
  <si>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</si>
  <si>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</si>
  <si>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</si>
  <si>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</si>
  <si>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</si>
  <si>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</si>
  <si>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</si>
  <si>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</si>
  <si>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</si>
  <si>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</si>
  <si>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</si>
  <si>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</si>
  <si>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</si>
  <si>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</si>
  <si>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</si>
  <si>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</si>
  <si>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</si>
  <si>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</si>
  <si>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</si>
  <si>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</si>
  <si>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</si>
  <si>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</si>
  <si>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</si>
  <si>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</si>
  <si>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</si>
  <si>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</si>
  <si>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</si>
  <si>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</si>
  <si>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</si>
  <si>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</si>
  <si>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</si>
  <si>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</si>
  <si>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</si>
  <si>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</si>
  <si>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</si>
  <si>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</si>
  <si>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</si>
  <si>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</si>
  <si>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</si>
  <si>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</si>
  <si>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</si>
  <si>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</si>
  <si>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</si>
  <si>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</si>
  <si>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</si>
  <si>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</si>
  <si>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</si>
  <si>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</si>
  <si>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</si>
  <si>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</si>
  <si>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</si>
  <si>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</si>
  <si>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</si>
  <si>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</si>
  <si>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</si>
  <si>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</si>
  <si>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</si>
  <si>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</si>
  <si>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</si>
  <si>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</si>
  <si>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</si>
  <si>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</si>
  <si>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</si>
  <si>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</si>
  <si>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</si>
  <si>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</si>
  <si>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</si>
  <si>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</si>
  <si>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</si>
  <si>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</si>
  <si>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</si>
  <si>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</si>
  <si>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</si>
  <si>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</si>
  <si>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</si>
  <si>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</si>
  <si>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</si>
  <si>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</si>
  <si>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</si>
  <si>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</si>
  <si>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</si>
  <si>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</si>
  <si>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</si>
  <si>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</si>
  <si>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</si>
  <si>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</si>
  <si>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</si>
  <si>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</si>
  <si>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</si>
  <si>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</si>
  <si>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</si>
  <si>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</si>
  <si>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</si>
  <si>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</si>
  <si>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</si>
  <si>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</si>
  <si>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</si>
  <si>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</si>
  <si>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</si>
  <si>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</si>
  <si>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</si>
  <si>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</si>
  <si>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</si>
  <si>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</si>
  <si>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</si>
  <si>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</si>
  <si>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</si>
  <si>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</si>
  <si>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</si>
  <si>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</si>
  <si>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</si>
  <si>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</si>
  <si>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</si>
  <si>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</si>
  <si>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</si>
  <si>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</si>
  <si>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</si>
  <si>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</si>
  <si>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</si>
  <si>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</si>
  <si>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</si>
  <si>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</si>
  <si>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</si>
  <si>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</si>
  <si>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</si>
  <si>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</si>
  <si>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</si>
  <si>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</si>
  <si>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</si>
  <si>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</si>
  <si>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</si>
  <si>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</si>
  <si>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</si>
  <si>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</si>
  <si>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</si>
  <si>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</si>
  <si>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</si>
  <si>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</si>
  <si>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</si>
  <si>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</si>
  <si>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</si>
  <si>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</si>
  <si>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</si>
  <si>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</si>
  <si>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</si>
  <si>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</si>
  <si>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</si>
  <si>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</si>
  <si>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</si>
  <si>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</si>
  <si>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</si>
  <si>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</si>
  <si>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</si>
  <si>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</si>
  <si>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</si>
  <si>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</si>
  <si>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</si>
  <si>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</si>
  <si>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</si>
  <si>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</si>
  <si>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</si>
  <si>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</si>
  <si>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</si>
  <si>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</si>
  <si>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</si>
  <si>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</si>
  <si>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</si>
  <si>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</si>
  <si>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</si>
  <si>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</si>
  <si>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</si>
  <si>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</si>
  <si>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</si>
  <si>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</si>
  <si>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</si>
  <si>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</si>
  <si>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</si>
  <si>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</si>
  <si>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</si>
  <si>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</si>
  <si>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</si>
  <si>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</si>
  <si>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</si>
  <si>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</si>
  <si>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</si>
  <si>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</si>
  <si>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</si>
  <si>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</si>
  <si>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</si>
  <si>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</si>
  <si>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</si>
  <si>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</si>
  <si>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</si>
  <si>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</si>
  <si>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</si>
  <si>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</si>
  <si>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</si>
  <si>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</si>
  <si>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</si>
  <si>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</si>
  <si>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</si>
  <si>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</si>
  <si>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</si>
  <si>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</si>
  <si>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</si>
  <si>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</si>
  <si>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</si>
  <si>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</si>
  <si>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</si>
  <si>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</si>
  <si>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</si>
  <si>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</si>
  <si>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</si>
  <si>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</si>
  <si>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</si>
  <si>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</si>
  <si>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</si>
  <si>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</si>
  <si>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</si>
  <si>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</si>
  <si>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</si>
  <si>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</si>
  <si>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</si>
  <si>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</si>
  <si>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</si>
  <si>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</si>
  <si>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</si>
  <si>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</si>
  <si>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</si>
  <si>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</si>
  <si>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</si>
  <si>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</si>
  <si>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</si>
  <si>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</si>
  <si>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</si>
  <si>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</si>
  <si>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</si>
  <si>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</si>
  <si>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</si>
  <si>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</si>
  <si>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</si>
  <si>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</si>
  <si>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</si>
  <si>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</si>
  <si>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</si>
  <si>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</si>
  <si>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</si>
  <si>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</si>
  <si>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</si>
  <si>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</si>
  <si>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</si>
  <si>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</si>
  <si>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</si>
  <si>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</si>
  <si>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</si>
  <si>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</si>
  <si>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</si>
  <si>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</si>
  <si>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</si>
  <si>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</si>
  <si>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</si>
  <si>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</si>
  <si>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</si>
  <si>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</si>
  <si>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</si>
  <si>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</si>
  <si>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</si>
  <si>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</si>
  <si>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</si>
  <si>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</si>
  <si>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</si>
  <si>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</si>
  <si>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</si>
  <si>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</si>
  <si>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</si>
  <si>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</si>
  <si>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</si>
  <si>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</si>
  <si>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</si>
  <si>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</si>
  <si>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</si>
  <si>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</si>
  <si>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</si>
  <si>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</si>
  <si>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</si>
  <si>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</si>
  <si>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</si>
  <si>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</si>
  <si>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</si>
  <si>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</si>
  <si>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</si>
  <si>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</si>
  <si>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</si>
  <si>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</si>
  <si>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</si>
  <si>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</si>
  <si>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</si>
  <si>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</si>
  <si>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</si>
  <si>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</si>
  <si>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</si>
  <si>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</si>
  <si>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</si>
  <si>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</si>
  <si>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</si>
  <si>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</si>
  <si>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</si>
  <si>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</si>
  <si>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</si>
  <si>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</si>
  <si>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</si>
  <si>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</si>
  <si>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</si>
  <si>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</si>
  <si>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</si>
  <si>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</si>
  <si>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</si>
  <si>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</si>
  <si>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</si>
  <si>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</si>
  <si>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</si>
  <si>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</si>
  <si>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</si>
  <si>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</si>
  <si>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</si>
  <si>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</si>
  <si>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</si>
  <si>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</si>
  <si>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</si>
  <si>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</si>
  <si>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</si>
  <si>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</si>
  <si>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</si>
  <si>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</si>
  <si>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</si>
  <si>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</si>
  <si>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</si>
  <si>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</si>
  <si>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</si>
  <si>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</si>
  <si>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</si>
  <si>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</si>
  <si>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</si>
  <si>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</si>
  <si>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</si>
  <si>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</si>
  <si>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</si>
  <si>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</si>
  <si>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</si>
  <si>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</si>
  <si>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</si>
  <si>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</si>
  <si>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</si>
  <si>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</si>
  <si>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</si>
  <si>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</si>
  <si>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</si>
  <si>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</si>
  <si>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</si>
  <si>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</si>
  <si>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</si>
  <si>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</si>
  <si>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</si>
  <si>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</si>
  <si>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</si>
  <si>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</si>
  <si>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</si>
  <si>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</si>
  <si>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</si>
  <si>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</si>
  <si>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</si>
  <si>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</si>
  <si>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</si>
  <si>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</si>
  <si>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</si>
  <si>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</si>
  <si>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</si>
  <si>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</si>
  <si>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</si>
  <si>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</si>
  <si>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</si>
  <si>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</si>
  <si>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</si>
  <si>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</si>
  <si>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</si>
  <si>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</si>
  <si>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</si>
  <si>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</si>
  <si>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</si>
  <si>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</si>
  <si>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</si>
  <si>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</si>
  <si>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</si>
  <si>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</si>
  <si>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</si>
  <si>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</si>
  <si>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</si>
  <si>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</si>
  <si>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</si>
  <si>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</si>
  <si>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</si>
  <si>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</si>
  <si>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</si>
  <si>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</si>
  <si>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</si>
  <si>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</si>
  <si>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</si>
  <si>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</si>
  <si>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</si>
  <si>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</si>
  <si>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</si>
  <si>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</si>
  <si>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</si>
  <si>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</si>
  <si>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</si>
  <si>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</si>
  <si>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</si>
  <si>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</si>
  <si>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</si>
  <si>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</si>
  <si>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</si>
  <si>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</si>
  <si>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</si>
  <si>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</si>
  <si>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</si>
  <si>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</si>
  <si>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</si>
  <si>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</si>
  <si>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</si>
  <si>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</si>
  <si>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</si>
  <si>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</si>
  <si>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</si>
  <si>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</si>
  <si>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</si>
  <si>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</si>
  <si>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</si>
  <si>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</si>
  <si>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</si>
  <si>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</si>
  <si>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</si>
  <si>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</si>
  <si>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</si>
  <si>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</si>
  <si>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</si>
  <si>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</si>
  <si>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</si>
  <si>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</si>
  <si>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</si>
  <si>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</si>
  <si>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</si>
  <si>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</si>
  <si>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</si>
  <si>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</si>
  <si>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</si>
  <si>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</si>
  <si>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</si>
  <si>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</si>
  <si>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</si>
  <si>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</si>
  <si>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</si>
  <si>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</si>
  <si>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</si>
  <si>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</si>
  <si>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</si>
  <si>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</si>
  <si>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</si>
  <si>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</si>
  <si>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</si>
  <si>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</si>
  <si>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</si>
  <si>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</si>
  <si>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</si>
  <si>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</si>
  <si>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</si>
  <si>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</si>
  <si>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</si>
  <si>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</si>
  <si>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</si>
  <si>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</si>
  <si>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</si>
  <si>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</si>
  <si>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</si>
  <si>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</si>
  <si>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</si>
  <si>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</si>
  <si>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</si>
  <si>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</si>
  <si>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</si>
  <si>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</si>
  <si>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</si>
  <si>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</si>
  <si>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</si>
  <si>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</si>
  <si>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</si>
  <si>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</si>
  <si>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</si>
  <si>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</si>
  <si>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</si>
  <si>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</si>
  <si>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</si>
  <si>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</si>
  <si>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</si>
  <si>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</si>
  <si>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</si>
  <si>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</si>
  <si>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</si>
  <si>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</si>
  <si>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</si>
  <si>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</si>
  <si>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</si>
  <si>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</si>
  <si>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</si>
  <si>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</si>
  <si>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</si>
  <si>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</si>
  <si>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</si>
  <si>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</si>
  <si>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</si>
  <si>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</si>
  <si>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</si>
  <si>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</si>
  <si>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</si>
  <si>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</si>
  <si>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</si>
  <si>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</si>
  <si>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</si>
  <si>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</si>
  <si>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</si>
  <si>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</si>
  <si>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</si>
  <si>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</si>
  <si>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</si>
  <si>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</si>
  <si>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PAIS VASCO</t>
  </si>
  <si>
    <t>Provincias</t>
  </si>
  <si>
    <t>BIZKAIA</t>
  </si>
  <si>
    <t>Resumenes por Partidos Judiciales</t>
  </si>
  <si>
    <t>DURANGO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</si>
</sst>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AChLvZprt1J4VqbAThsP9gEU0/L+eUCDNJ5N7jPEWnFnGqD7HIKKSpabMD4ZUCI1RBiX325GVIulOD2AkUuAg==" saltValue="84AFdqRH7R78VPIQKlEA/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PAIS VASCO</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34</v>
      </c>
      <c r="D10" s="239">
        <f>IF(ISNUMBER(Datos!I10),Datos!I10," - ")</f>
        <v>34</v>
      </c>
      <c r="E10" s="240">
        <f>IF(ISNUMBER(Datos!J10),Datos!J10," - ")</f>
        <v>11</v>
      </c>
      <c r="F10" s="240">
        <f>IF(ISNUMBER(Datos!K10),Datos!K10," - ")</f>
        <v>9</v>
      </c>
      <c r="G10" s="1390" t="str">
        <f>IF(Datos!E10&lt;&gt;"",Datos!E10,Datos!D10)</f>
        <v>37</v>
      </c>
      <c r="H10" s="241">
        <f>IF(ISNUMBER(Datos!L10),Datos!L10," - ")</f>
        <v>36</v>
      </c>
      <c r="I10" s="1400" t="str">
        <f>IF(ISNUMBER(Datos!AS10/Datos!BM10),Datos!AS10/Datos!BM10," - ")</f>
        <v xml:space="preserve"> - </v>
      </c>
      <c r="J10" s="1401">
        <f>IF(ISNUMBER(Datos!BY10/Datos!CN10),Datos!BY10/Datos!CN10," - ")</f>
        <v>0</v>
      </c>
      <c r="K10" s="244">
        <f t="shared" ref="K10:K13" si="1">IF(ISNUMBER((E10-F10)/C10),(E10-F10)/C10," - ")</f>
        <v>5.8823529411764705E-2</v>
      </c>
      <c r="L10" s="1402">
        <f>IF(ISNUMBER(NºAsuntos!I10/NºAsuntos!G10),(NºAsuntos!I10/NºAsuntos!G10)*11," - ")</f>
        <v>44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24.595870206489678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34</v>
      </c>
      <c r="D14" s="1407">
        <f>SUBTOTAL(9,D9:D13)</f>
        <v>34</v>
      </c>
      <c r="E14" s="1408">
        <f>SUBTOTAL(9,E9:E13)</f>
        <v>11</v>
      </c>
      <c r="F14" s="1409">
        <f>SUBTOTAL(9,F9:F13)</f>
        <v>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1069</v>
      </c>
      <c r="D17" s="239">
        <f>IF(ISNUMBER(IF(D_I="SI",Datos!I17,Datos!I17+Datos!AC17)),IF(D_I="SI",Datos!I17,Datos!I17+Datos!AC17)," - ")</f>
        <v>1048</v>
      </c>
      <c r="E17" s="240">
        <f>IF(ISNUMBER(IF(D_I="SI",Datos!J17,Datos!J17+Datos!AD17)),IF(D_I="SI",Datos!J17,Datos!J17+Datos!AD17)," - ")</f>
        <v>523</v>
      </c>
      <c r="F17" s="240">
        <f>IF(ISNUMBER(IF(D_I="SI",Datos!K17,Datos!K17+Datos!AE17)),IF(D_I="SI",Datos!K17,Datos!K17+Datos!AE17)," - ")</f>
        <v>566</v>
      </c>
      <c r="G17" s="1390" t="str">
        <f>IF(Datos!E17&lt;&gt;"",Datos!E17,Datos!D17)</f>
        <v>04</v>
      </c>
      <c r="H17" s="241">
        <f>IF(ISNUMBER(IF(D_I="SI",Datos!L17,Datos!L17+Datos!AF17)),IF(D_I="SI",Datos!L17,Datos!L17+Datos!AF17)," - ")</f>
        <v>1026</v>
      </c>
      <c r="I17" s="1400" t="str">
        <f>IF(ISNUMBER(Datos!AS17/Datos!BM17),Datos!AS17/Datos!BM17," - ")</f>
        <v xml:space="preserve"> - </v>
      </c>
      <c r="J17" s="1401">
        <f>IF(ISNUMBER(Datos!BY17/Datos!CN17),Datos!BY17/Datos!CN17," - ")</f>
        <v>0</v>
      </c>
      <c r="K17" s="244">
        <f t="shared" si="3"/>
        <v>-4.0224508886810104E-2</v>
      </c>
      <c r="L17" s="1402">
        <f>IF(ISNUMBER(NºAsuntos!I17/NºAsuntos!G17),(NºAsuntos!I17/NºAsuntos!G17)*11," - ")</f>
        <v>19.939929328621908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56</v>
      </c>
      <c r="D18" s="239">
        <f>IF(ISNUMBER(IF(D_I="SI",Datos!I18,Datos!I18+Datos!AC18)),IF(D_I="SI",Datos!I18,Datos!I18+Datos!AC18)," - ")</f>
        <v>56</v>
      </c>
      <c r="E18" s="240">
        <f>IF(ISNUMBER(IF(D_I="SI",Datos!J18,Datos!J18+Datos!AD18)),IF(D_I="SI",Datos!J18,Datos!J18+Datos!AD18)," - ")</f>
        <v>57</v>
      </c>
      <c r="F18" s="240">
        <f>IF(ISNUMBER(IF(D_I="SI",Datos!K18,Datos!K18+Datos!AE18)),IF(D_I="SI",Datos!K18,Datos!K18+Datos!AE18)," - ")</f>
        <v>58</v>
      </c>
      <c r="G18" s="1390" t="str">
        <f>IF(Datos!E18&lt;&gt;"",Datos!E18,Datos!D18)</f>
        <v>37</v>
      </c>
      <c r="H18" s="241">
        <f>IF(ISNUMBER(IF(D_I="SI",Datos!L18,Datos!L18+Datos!AF18)),IF(D_I="SI",Datos!L18,Datos!L18+Datos!AF18)," - ")</f>
        <v>55</v>
      </c>
      <c r="I18" s="1400" t="str">
        <f>IF(ISNUMBER(Datos!AS18/Datos!BM18),Datos!AS18/Datos!BM18," - ")</f>
        <v xml:space="preserve"> - </v>
      </c>
      <c r="J18" s="1401" t="str">
        <f>IF(ISNUMBER((Datos!BY18+Datos!BZ18)/Datos!CN18),(Datos!BY18+Datos!BZ18)/Datos!CN18," - ")</f>
        <v xml:space="preserve"> - </v>
      </c>
      <c r="K18" s="244">
        <f t="shared" si="3"/>
        <v>-1.7857142857142856E-2</v>
      </c>
      <c r="L18" s="1402">
        <f>IF(ISNUMBER(NºAsuntos!I18/NºAsuntos!G18),(NºAsuntos!I18/NºAsuntos!G18)*11," - ")</f>
        <v>10.431034482758621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1125</v>
      </c>
      <c r="D23" s="1407">
        <f>SUBTOTAL(9,D16:D22)</f>
        <v>1104</v>
      </c>
      <c r="E23" s="1408">
        <f>SUBTOTAL(9,E16:E22)</f>
        <v>580</v>
      </c>
      <c r="F23" s="1408">
        <f>SUBTOTAL(9,F16:F22)</f>
        <v>624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1159</v>
      </c>
      <c r="D31" s="1435">
        <f>SUBTOTAL(9,D9:D30)</f>
        <v>1138</v>
      </c>
      <c r="E31" s="1436">
        <f>SUBTOTAL(9,E9:E30)</f>
        <v>591</v>
      </c>
      <c r="F31" s="1436">
        <f>SUBTOTAL(9,F9:F30)</f>
        <v>633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b6PbEM6Px5fuq22Af2CrSOYFu49R8EQhXZyjeh7ytgA6BzZAwTiVG8W421wwO/doJs9z69Kje0OduDyu7JSH3w==" saltValue="Qrkj2ivpwFcDeahx9xQyZ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k60/BqYZ5/khHbg10/d/l7LXGO0/s7i1r6ZdBf8VrPkbrNR/wdUO6pBkTlBhfkuYgiE30sb2N7WiIrCuxQo/uA==" saltValue="39Dt5+Pd9w+sNjd31rEl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34</v>
      </c>
      <c r="J10" s="194">
        <v>11</v>
      </c>
      <c r="K10" s="194">
        <v>9</v>
      </c>
      <c r="L10" s="194">
        <v>36</v>
      </c>
      <c r="M10" s="194">
        <v>3</v>
      </c>
      <c r="N10" s="194">
        <v>0</v>
      </c>
      <c r="O10" s="194">
        <v>0</v>
      </c>
      <c r="P10" s="194">
        <v>2</v>
      </c>
      <c r="Q10" s="194">
        <v>1</v>
      </c>
      <c r="R10" s="194">
        <v>42</v>
      </c>
      <c r="S10" s="194">
        <v>23</v>
      </c>
      <c r="T10" s="194">
        <v>11</v>
      </c>
      <c r="U10" s="194">
        <v>12</v>
      </c>
      <c r="V10" s="194">
        <v>22</v>
      </c>
      <c r="W10" s="194">
        <v>1</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23</v>
      </c>
      <c r="AZ10" s="139">
        <f t="shared" si="0"/>
        <v>11</v>
      </c>
      <c r="BA10" s="139">
        <f t="shared" si="0"/>
        <v>12</v>
      </c>
      <c r="BB10" s="139">
        <f t="shared" si="0"/>
        <v>22</v>
      </c>
      <c r="BC10" s="135">
        <f t="shared" si="0"/>
        <v>1</v>
      </c>
      <c r="BD10" s="136">
        <f>IF(ISNUMBER(BA10/AZ10),BA10/AZ10," - ")</f>
        <v>1.0909090909090908</v>
      </c>
      <c r="BE10" s="137">
        <f>IF(ISNUMBER(BB10/BA10),BB10/BA10, " - ")</f>
        <v>1.8333333333333333</v>
      </c>
      <c r="BF10" s="137">
        <f>IF(ISNUMBER(BC10/BA10),BC10/BA10, " - ")</f>
        <v>8.3333333333333329E-2</v>
      </c>
      <c r="BG10" s="209">
        <f>IF(ISNUMBER((AY10+AZ10)/BA10),(AY10+AZ10)/BA10," - ")</f>
        <v>2.8333333333333335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1207</v>
      </c>
      <c r="J12" s="196">
        <v>720</v>
      </c>
      <c r="K12" s="196">
        <v>594</v>
      </c>
      <c r="L12" s="196">
        <v>1343</v>
      </c>
      <c r="M12" s="196">
        <v>143</v>
      </c>
      <c r="N12" s="196">
        <v>291</v>
      </c>
      <c r="O12" s="194">
        <v>193</v>
      </c>
      <c r="P12" s="196">
        <v>188</v>
      </c>
      <c r="Q12" s="196">
        <v>306</v>
      </c>
      <c r="R12" s="196">
        <v>2812</v>
      </c>
      <c r="S12" s="196">
        <v>1282</v>
      </c>
      <c r="T12" s="196">
        <v>730</v>
      </c>
      <c r="U12" s="196">
        <v>696</v>
      </c>
      <c r="V12" s="196">
        <v>1316</v>
      </c>
      <c r="W12" s="196">
        <v>239</v>
      </c>
      <c r="X12" s="202">
        <v>328</v>
      </c>
      <c r="Y12" s="204">
        <v>180</v>
      </c>
      <c r="Z12" s="194">
        <v>96</v>
      </c>
      <c r="AA12" s="194">
        <v>84</v>
      </c>
      <c r="AB12" s="194">
        <v>173</v>
      </c>
      <c r="AC12" s="196">
        <v>0</v>
      </c>
      <c r="AD12" s="196">
        <v>0</v>
      </c>
      <c r="AE12" s="196">
        <v>0</v>
      </c>
      <c r="AF12" s="202">
        <v>0</v>
      </c>
      <c r="AG12" s="215">
        <v>136</v>
      </c>
      <c r="AH12" s="196">
        <v>99</v>
      </c>
      <c r="AI12" s="196">
        <v>103</v>
      </c>
      <c r="AJ12" s="216">
        <v>132</v>
      </c>
      <c r="AK12" s="195">
        <v>0</v>
      </c>
      <c r="AL12" s="196">
        <v>0</v>
      </c>
      <c r="AM12" s="196">
        <v>0</v>
      </c>
      <c r="AN12" s="202">
        <v>0</v>
      </c>
      <c r="AO12" s="283">
        <v>4</v>
      </c>
      <c r="AP12" s="168">
        <v>4</v>
      </c>
      <c r="AQ12" s="168">
        <v>4</v>
      </c>
      <c r="AR12" s="167">
        <v>4</v>
      </c>
      <c r="AS12" s="381" t="s">
        <v>1075</v>
      </c>
      <c r="AT12" s="216"/>
      <c r="AU12" s="215"/>
      <c r="AV12" s="216"/>
      <c r="AW12" s="215"/>
      <c r="AX12" s="216"/>
      <c r="AY12" s="136">
        <f t="shared" si="1"/>
        <v>1418</v>
      </c>
      <c r="AZ12" s="137">
        <f t="shared" si="1"/>
        <v>829</v>
      </c>
      <c r="BA12" s="137">
        <f t="shared" si="1"/>
        <v>799</v>
      </c>
      <c r="BB12" s="137">
        <f t="shared" si="1"/>
        <v>1448</v>
      </c>
      <c r="BC12" s="135">
        <f>IF(ISNUMBER(X12),X12," - ")</f>
        <v>328</v>
      </c>
      <c r="BD12" s="136">
        <f t="shared" si="2"/>
        <v>0.96381182147165256</v>
      </c>
      <c r="BE12" s="137">
        <f t="shared" si="3"/>
        <v>1.8122653316645807</v>
      </c>
      <c r="BF12" s="137">
        <f t="shared" si="4"/>
        <v>0.41051314142678347</v>
      </c>
      <c r="BG12" s="209">
        <f t="shared" si="5"/>
        <v>2.8122653316645807</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1241</v>
      </c>
      <c r="J14" s="197">
        <f t="shared" si="7"/>
        <v>731</v>
      </c>
      <c r="K14" s="197">
        <f t="shared" si="7"/>
        <v>603</v>
      </c>
      <c r="L14" s="197">
        <f t="shared" si="7"/>
        <v>1379</v>
      </c>
      <c r="M14" s="197">
        <f t="shared" si="7"/>
        <v>146</v>
      </c>
      <c r="N14" s="197">
        <f t="shared" si="7"/>
        <v>291</v>
      </c>
      <c r="O14" s="197">
        <f t="shared" si="7"/>
        <v>193</v>
      </c>
      <c r="P14" s="197">
        <f t="shared" si="7"/>
        <v>190</v>
      </c>
      <c r="Q14" s="197">
        <f t="shared" si="7"/>
        <v>307</v>
      </c>
      <c r="R14" s="197">
        <f t="shared" si="7"/>
        <v>2854</v>
      </c>
      <c r="S14" s="197">
        <f t="shared" si="7"/>
        <v>1305</v>
      </c>
      <c r="T14" s="197">
        <f t="shared" si="7"/>
        <v>741</v>
      </c>
      <c r="U14" s="197">
        <f t="shared" si="7"/>
        <v>708</v>
      </c>
      <c r="V14" s="197">
        <f t="shared" si="7"/>
        <v>1338</v>
      </c>
      <c r="W14" s="197">
        <f t="shared" si="7"/>
        <v>240</v>
      </c>
      <c r="X14" s="197">
        <f t="shared" si="7"/>
        <v>330</v>
      </c>
      <c r="Y14" s="197">
        <f t="shared" si="7"/>
        <v>180</v>
      </c>
      <c r="Z14" s="197">
        <f t="shared" si="7"/>
        <v>96</v>
      </c>
      <c r="AA14" s="197">
        <f t="shared" si="7"/>
        <v>84</v>
      </c>
      <c r="AB14" s="197">
        <f t="shared" si="7"/>
        <v>173</v>
      </c>
      <c r="AC14" s="197">
        <f t="shared" si="7"/>
        <v>0</v>
      </c>
      <c r="AD14" s="197">
        <f t="shared" si="7"/>
        <v>0</v>
      </c>
      <c r="AE14" s="197">
        <f t="shared" si="7"/>
        <v>0</v>
      </c>
      <c r="AF14" s="197">
        <f>SUBTOTAL(9,AF9:AF13)</f>
        <v>0</v>
      </c>
      <c r="AG14" s="197">
        <f t="shared" ref="AG14:AT14" si="8">SUBTOTAL(9,AG8:AG13)</f>
        <v>136</v>
      </c>
      <c r="AH14" s="197">
        <f t="shared" si="8"/>
        <v>99</v>
      </c>
      <c r="AI14" s="197">
        <f t="shared" si="8"/>
        <v>103</v>
      </c>
      <c r="AJ14" s="197">
        <f t="shared" si="8"/>
        <v>132</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1441</v>
      </c>
      <c r="AZ14" s="197">
        <f>SUBTOTAL(9,AZ8:AZ13)</f>
        <v>840</v>
      </c>
      <c r="BA14" s="197">
        <f>SUBTOTAL(9,BA8:BA13)</f>
        <v>811</v>
      </c>
      <c r="BB14" s="197">
        <f>SUBTOTAL(9,BB8:BB13)</f>
        <v>1470</v>
      </c>
      <c r="BC14" s="197">
        <f>SUBTOTAL(9,BC8:BC13)</f>
        <v>329</v>
      </c>
      <c r="BD14" s="219">
        <f>IF(ISNUMBER(BA14/AZ14),BA14/AZ14," - ")</f>
        <v>0.96547619047619049</v>
      </c>
      <c r="BE14" s="220">
        <f>IF(ISNUMBER(BB14/BA14),BB14/BA14, " - ")</f>
        <v>1.8125770653514179</v>
      </c>
      <c r="BF14" s="220">
        <f>IF(ISNUMBER(BC14/BA14),BC14/BA14, " - ")</f>
        <v>0.40567200986436497</v>
      </c>
      <c r="BG14" s="221">
        <f>IF(ISNUMBER((AY14+AZ14)/BA14),(AY14+AZ14)/BA14," - ")</f>
        <v>2.8125770653514182</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1048</v>
      </c>
      <c r="J17" s="196">
        <v>523</v>
      </c>
      <c r="K17" s="196">
        <v>566</v>
      </c>
      <c r="L17" s="196">
        <v>1026</v>
      </c>
      <c r="M17" s="196">
        <v>133</v>
      </c>
      <c r="N17" s="196">
        <v>254</v>
      </c>
      <c r="O17" s="194">
        <v>0</v>
      </c>
      <c r="P17" s="196">
        <v>65</v>
      </c>
      <c r="Q17" s="196">
        <v>35</v>
      </c>
      <c r="R17" s="196">
        <v>187</v>
      </c>
      <c r="S17" s="196">
        <v>1060</v>
      </c>
      <c r="T17" s="196">
        <v>563</v>
      </c>
      <c r="U17" s="196">
        <v>507</v>
      </c>
      <c r="V17" s="196">
        <v>1120</v>
      </c>
      <c r="W17" s="196">
        <v>139</v>
      </c>
      <c r="X17" s="202">
        <v>258</v>
      </c>
      <c r="Y17" s="215">
        <v>0</v>
      </c>
      <c r="Z17" s="196">
        <v>0</v>
      </c>
      <c r="AA17" s="196">
        <v>0</v>
      </c>
      <c r="AB17" s="196">
        <v>0</v>
      </c>
      <c r="AC17" s="196">
        <v>0</v>
      </c>
      <c r="AD17" s="196">
        <v>43</v>
      </c>
      <c r="AE17" s="196">
        <v>40</v>
      </c>
      <c r="AF17" s="202">
        <v>3</v>
      </c>
      <c r="AG17" s="215">
        <v>0</v>
      </c>
      <c r="AH17" s="196">
        <v>0</v>
      </c>
      <c r="AI17" s="196">
        <v>0</v>
      </c>
      <c r="AJ17" s="216">
        <v>0</v>
      </c>
      <c r="AK17" s="195">
        <v>2</v>
      </c>
      <c r="AL17" s="196">
        <v>17</v>
      </c>
      <c r="AM17" s="196">
        <v>17</v>
      </c>
      <c r="AN17" s="202">
        <v>2</v>
      </c>
      <c r="AO17" s="283">
        <v>4</v>
      </c>
      <c r="AP17" s="168">
        <v>4</v>
      </c>
      <c r="AQ17" s="168">
        <v>4</v>
      </c>
      <c r="AR17" s="168">
        <v>4</v>
      </c>
      <c r="AS17" s="381" t="s">
        <v>650</v>
      </c>
      <c r="AT17" s="216"/>
      <c r="AU17" s="215"/>
      <c r="AV17" s="216"/>
      <c r="AW17" s="215"/>
      <c r="AX17" s="216"/>
      <c r="AY17" s="136">
        <f t="shared" si="10"/>
        <v>1060</v>
      </c>
      <c r="AZ17" s="137">
        <f t="shared" si="10"/>
        <v>563</v>
      </c>
      <c r="BA17" s="137">
        <f t="shared" si="10"/>
        <v>507</v>
      </c>
      <c r="BB17" s="137">
        <f t="shared" si="10"/>
        <v>1120</v>
      </c>
      <c r="BC17" s="135">
        <f>IF(ISNUMBER(W17),W17," - ")</f>
        <v>139</v>
      </c>
      <c r="BD17" s="136">
        <f t="shared" ref="BD17:BD22" si="12">IF(ISNUMBER(BA17/AZ17),BA17/AZ17," - ")</f>
        <v>0.90053285968028418</v>
      </c>
      <c r="BE17" s="137">
        <f t="shared" ref="BE17:BE22" si="13">IF(ISNUMBER(BB17/BA17),BB17/BA17, " - ")</f>
        <v>2.2090729783037477</v>
      </c>
      <c r="BF17" s="137">
        <f t="shared" ref="BF17:BF22" si="14">IF(ISNUMBER(BC17/BA17),BC17/BA17, " - ")</f>
        <v>0.27416173570019725</v>
      </c>
      <c r="BG17" s="209">
        <f t="shared" si="11"/>
        <v>3.2011834319526629</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56</v>
      </c>
      <c r="J18" s="196">
        <v>57</v>
      </c>
      <c r="K18" s="196">
        <v>58</v>
      </c>
      <c r="L18" s="196">
        <v>55</v>
      </c>
      <c r="M18" s="196">
        <v>5</v>
      </c>
      <c r="N18" s="196">
        <v>38</v>
      </c>
      <c r="O18" s="196">
        <v>0</v>
      </c>
      <c r="P18" s="196">
        <v>0</v>
      </c>
      <c r="Q18" s="196">
        <v>2</v>
      </c>
      <c r="R18" s="196">
        <v>0</v>
      </c>
      <c r="S18" s="196">
        <v>64</v>
      </c>
      <c r="T18" s="196">
        <v>55</v>
      </c>
      <c r="U18" s="196">
        <v>69</v>
      </c>
      <c r="V18" s="196">
        <v>52</v>
      </c>
      <c r="W18" s="196">
        <v>7</v>
      </c>
      <c r="X18" s="202">
        <v>35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64</v>
      </c>
      <c r="AZ18" s="139">
        <f t="shared" si="15"/>
        <v>55</v>
      </c>
      <c r="BA18" s="139">
        <f t="shared" si="15"/>
        <v>69</v>
      </c>
      <c r="BB18" s="139">
        <f t="shared" si="15"/>
        <v>52</v>
      </c>
      <c r="BC18" s="135">
        <f>IF(ISNUMBER(W18),W18," - ")</f>
        <v>7</v>
      </c>
      <c r="BD18" s="136">
        <f>IF(ISNUMBER(BA18/AZ18),BA18/AZ18," - ")</f>
        <v>1.2545454545454546</v>
      </c>
      <c r="BE18" s="137">
        <f>IF(ISNUMBER(BB18/BA18),BB18/BA18, " - ")</f>
        <v>0.75362318840579712</v>
      </c>
      <c r="BF18" s="137">
        <f>IF(ISNUMBER(BC18/BA18),BC18/BA18, " - ")</f>
        <v>0.10144927536231885</v>
      </c>
      <c r="BG18" s="209">
        <f>IF(ISNUMBER((AY18+AZ18)/BA18),(AY18+AZ18)/BA18," - ")</f>
        <v>1.7246376811594204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1104</v>
      </c>
      <c r="J23" s="197">
        <f t="shared" si="21"/>
        <v>580</v>
      </c>
      <c r="K23" s="197">
        <f t="shared" si="21"/>
        <v>624</v>
      </c>
      <c r="L23" s="197">
        <f t="shared" si="21"/>
        <v>1081</v>
      </c>
      <c r="M23" s="197">
        <f t="shared" si="21"/>
        <v>138</v>
      </c>
      <c r="N23" s="197">
        <f t="shared" si="21"/>
        <v>292</v>
      </c>
      <c r="O23" s="197">
        <f t="shared" si="21"/>
        <v>0</v>
      </c>
      <c r="P23" s="197">
        <f t="shared" si="21"/>
        <v>65</v>
      </c>
      <c r="Q23" s="197">
        <f t="shared" si="21"/>
        <v>37</v>
      </c>
      <c r="R23" s="197">
        <f t="shared" si="21"/>
        <v>187</v>
      </c>
      <c r="S23" s="197">
        <f t="shared" si="21"/>
        <v>1124</v>
      </c>
      <c r="T23" s="197">
        <f t="shared" si="21"/>
        <v>618</v>
      </c>
      <c r="U23" s="197">
        <f t="shared" si="21"/>
        <v>576</v>
      </c>
      <c r="V23" s="197">
        <f t="shared" si="21"/>
        <v>1172</v>
      </c>
      <c r="W23" s="197">
        <f t="shared" si="21"/>
        <v>146</v>
      </c>
      <c r="X23" s="197">
        <f t="shared" si="21"/>
        <v>293</v>
      </c>
      <c r="Y23" s="197">
        <f t="shared" si="21"/>
        <v>0</v>
      </c>
      <c r="Z23" s="197">
        <f t="shared" si="21"/>
        <v>0</v>
      </c>
      <c r="AA23" s="197">
        <f t="shared" si="21"/>
        <v>0</v>
      </c>
      <c r="AB23" s="197">
        <f t="shared" si="21"/>
        <v>0</v>
      </c>
      <c r="AC23" s="197">
        <f t="shared" si="21"/>
        <v>0</v>
      </c>
      <c r="AD23" s="197">
        <f t="shared" si="21"/>
        <v>43</v>
      </c>
      <c r="AE23" s="197">
        <f t="shared" si="21"/>
        <v>40</v>
      </c>
      <c r="AF23" s="197">
        <f t="shared" si="21"/>
        <v>3</v>
      </c>
      <c r="AG23" s="197">
        <f t="shared" si="21"/>
        <v>0</v>
      </c>
      <c r="AH23" s="197">
        <f t="shared" si="21"/>
        <v>0</v>
      </c>
      <c r="AI23" s="197">
        <f t="shared" si="21"/>
        <v>0</v>
      </c>
      <c r="AJ23" s="197">
        <f t="shared" si="21"/>
        <v>0</v>
      </c>
      <c r="AK23" s="197">
        <f t="shared" si="21"/>
        <v>2</v>
      </c>
      <c r="AL23" s="197">
        <f t="shared" si="21"/>
        <v>17</v>
      </c>
      <c r="AM23" s="197">
        <f t="shared" si="21"/>
        <v>17</v>
      </c>
      <c r="AN23" s="197">
        <f t="shared" si="21"/>
        <v>2</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1124</v>
      </c>
      <c r="AZ23" s="197">
        <f>SUBTOTAL(9,AZ15:AZ22)</f>
        <v>618</v>
      </c>
      <c r="BA23" s="197">
        <f>SUBTOTAL(9,BA15:BA22)</f>
        <v>576</v>
      </c>
      <c r="BB23" s="197">
        <f>SUBTOTAL(9,BB15:BB22)</f>
        <v>1172</v>
      </c>
      <c r="BC23" s="197">
        <f>SUBTOTAL(9,BC15:BC22)</f>
        <v>146</v>
      </c>
      <c r="BD23" s="219">
        <f>IF(ISNUMBER(BA23/AZ23),BA23/AZ23," - ")</f>
        <v>0.93203883495145634</v>
      </c>
      <c r="BE23" s="220">
        <f>IF(ISNUMBER(BB23/BA23),BB23/BA23, " - ")</f>
        <v>2.0347222222222223</v>
      </c>
      <c r="BF23" s="220">
        <f>IF(ISNUMBER(BC23/BA23),BC23/BA23, " - ")</f>
        <v>0.25347222222222221</v>
      </c>
      <c r="BG23" s="221">
        <f>IF(ISNUMBER((AY23+AZ23)/BA23),(AY23+AZ23)/BA23," - ")</f>
        <v>3.0243055555555554</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2345</v>
      </c>
      <c r="J31" s="144">
        <f t="shared" si="36"/>
        <v>1311</v>
      </c>
      <c r="K31" s="144">
        <f t="shared" si="36"/>
        <v>1227</v>
      </c>
      <c r="L31" s="144">
        <f t="shared" si="36"/>
        <v>2460</v>
      </c>
      <c r="M31" s="144">
        <f t="shared" si="36"/>
        <v>284</v>
      </c>
      <c r="N31" s="144">
        <f t="shared" si="36"/>
        <v>583</v>
      </c>
      <c r="O31" s="144">
        <f t="shared" si="36"/>
        <v>193</v>
      </c>
      <c r="P31" s="144">
        <f t="shared" si="36"/>
        <v>255</v>
      </c>
      <c r="Q31" s="144">
        <f t="shared" si="36"/>
        <v>344</v>
      </c>
      <c r="R31" s="144">
        <f t="shared" si="36"/>
        <v>3041</v>
      </c>
      <c r="S31" s="144">
        <f t="shared" si="36"/>
        <v>2429</v>
      </c>
      <c r="T31" s="144">
        <f t="shared" si="36"/>
        <v>1359</v>
      </c>
      <c r="U31" s="144">
        <f t="shared" si="36"/>
        <v>1284</v>
      </c>
      <c r="V31" s="144">
        <f t="shared" si="36"/>
        <v>2510</v>
      </c>
      <c r="W31" s="144">
        <f t="shared" si="36"/>
        <v>386</v>
      </c>
      <c r="X31" s="144">
        <f t="shared" si="36"/>
        <v>623</v>
      </c>
      <c r="Y31" s="144">
        <f t="shared" si="36"/>
        <v>180</v>
      </c>
      <c r="Z31" s="144">
        <f t="shared" si="36"/>
        <v>96</v>
      </c>
      <c r="AA31" s="144">
        <f t="shared" si="36"/>
        <v>84</v>
      </c>
      <c r="AB31" s="144">
        <f t="shared" si="36"/>
        <v>173</v>
      </c>
      <c r="AC31" s="144">
        <f t="shared" si="36"/>
        <v>0</v>
      </c>
      <c r="AD31" s="144">
        <f t="shared" si="36"/>
        <v>43</v>
      </c>
      <c r="AE31" s="144">
        <f t="shared" si="36"/>
        <v>40</v>
      </c>
      <c r="AF31" s="144">
        <f t="shared" si="36"/>
        <v>3</v>
      </c>
      <c r="AG31" s="144">
        <f t="shared" si="36"/>
        <v>136</v>
      </c>
      <c r="AH31" s="144">
        <f t="shared" si="36"/>
        <v>99</v>
      </c>
      <c r="AI31" s="144">
        <f t="shared" si="36"/>
        <v>103</v>
      </c>
      <c r="AJ31" s="144">
        <f t="shared" si="36"/>
        <v>132</v>
      </c>
      <c r="AK31" s="144">
        <f t="shared" si="36"/>
        <v>2</v>
      </c>
      <c r="AL31" s="144">
        <f t="shared" si="36"/>
        <v>17</v>
      </c>
      <c r="AM31" s="144">
        <f t="shared" si="36"/>
        <v>17</v>
      </c>
      <c r="AN31" s="224">
        <f t="shared" si="36"/>
        <v>2</v>
      </c>
      <c r="AO31" s="225">
        <v>5</v>
      </c>
      <c r="AP31" s="225">
        <v>4</v>
      </c>
      <c r="AQ31" s="225">
        <v>4</v>
      </c>
      <c r="AR31" s="225">
        <v>4</v>
      </c>
      <c r="AS31" s="166">
        <f t="shared" si="36"/>
        <v>0</v>
      </c>
      <c r="AT31" s="166">
        <f t="shared" si="36"/>
        <v>0</v>
      </c>
      <c r="AU31" s="225"/>
      <c r="AV31" s="226"/>
      <c r="AW31" s="225"/>
      <c r="AX31" s="226"/>
      <c r="AY31" s="143">
        <f>SUBTOTAL(9,AY9:AY30)</f>
        <v>2565</v>
      </c>
      <c r="AZ31" s="144">
        <f>SUBTOTAL(9,AZ9:AZ30)</f>
        <v>1458</v>
      </c>
      <c r="BA31" s="144">
        <f>SUBTOTAL(9,BA9:BA30)</f>
        <v>1387</v>
      </c>
      <c r="BB31" s="144">
        <f>SUBTOTAL(9,BB9:BB30)</f>
        <v>2642</v>
      </c>
      <c r="BC31" s="145">
        <f>SUBTOTAL(9,BC9:BC30)</f>
        <v>475</v>
      </c>
      <c r="BD31" s="227">
        <f>IF(ISNUMBER(BA31/AZ31),BA31/AZ31," - ")</f>
        <v>0.95130315500685869</v>
      </c>
      <c r="BE31" s="224">
        <f>IF(ISNUMBER(BB31/BA31),BB31/BA31, " - ")</f>
        <v>1.9048305695746215</v>
      </c>
      <c r="BF31" s="224">
        <f>IF(ISNUMBER(BC31/BA31),BC31/BA31, " - ")</f>
        <v>0.34246575342465752</v>
      </c>
      <c r="BG31" s="145">
        <f>IF(ISNUMBER((AY31+AZ31)/BA31),(AY31+AZ31)/BA31," - ")</f>
        <v>2.900504686373468</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C96O6q11Er8DXsIvoK9cbh53CrwgeaPFWetUCJl5NqztD2QPPi+jlR9vcgAOskHc/janNUsIcjbaYUv/KROFg==" saltValue="pugHdKLd/oKj8CfDJZjTZ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PXFN1jf1AjiGuK1r3w6BNDAipXQt7jRYX4PD2dLGkL4mLI3fd5emr3NxXaUHZ0Rt2fO3E1jSzleUNiUIah78w==" saltValue="pm6a+YsKJGzHxPH3UKGmy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PAIS VASCO</v>
      </c>
      <c r="F1" s="578"/>
    </row>
    <row r="2" spans="1:74" ht="16.5" customHeight="1">
      <c r="C2" s="567" t="str">
        <f>Criterios!A10 &amp;"  "&amp;Criterios!B10 &amp; "  " &amp; IF(NOT(ISBLANK(Criterios!A11)),Criterios!A11 &amp;"  "&amp;Criterios!B11,"")</f>
        <v>Provincias  BIZKAIA  Resumenes por Partidos Judiciales  DURANGO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34</v>
      </c>
      <c r="G10" s="543">
        <f>IF(ISNUMBER(Datos!I10),Datos!I10," - ")</f>
        <v>34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9</v>
      </c>
      <c r="AC10" s="547">
        <f>IF(ISNUMBER(Datos!Q10),Datos!Q10," - ")</f>
        <v>1</v>
      </c>
      <c r="AD10" s="549"/>
      <c r="AE10" s="563"/>
      <c r="AF10" s="551">
        <f>IF(ISNUMBER(Datos!L10),Datos!L10,"-")</f>
        <v>36</v>
      </c>
      <c r="AG10" s="549"/>
      <c r="AH10" s="549"/>
      <c r="AI10" s="549"/>
      <c r="AJ10" s="549"/>
      <c r="AK10" s="549"/>
      <c r="AL10" s="550"/>
      <c r="AM10" s="766">
        <f>IF(ISNUMBER(Datos!R10),Datos!R10," - ")</f>
        <v>42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0.81818181818181823</v>
      </c>
      <c r="BH10" s="764">
        <f>IF(ISNUMBER(((Datos!L10/Datos!K10)*11)/factor_trimestre),((Datos!L10/Datos!K10)*11)/factor_trimestre," - ")</f>
        <v>12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2.4390243902439025E-2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96</v>
      </c>
      <c r="O12" s="549"/>
      <c r="P12" s="549"/>
      <c r="Q12" s="547">
        <f>IF(ISNUMBER(Datos!P12),Datos!P12,0)</f>
        <v>188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306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173</v>
      </c>
      <c r="AI12" s="549" t="str">
        <f>IF(ISNUMBER(Datos!CD12),Datos!CD12,"-")</f>
        <v>-</v>
      </c>
      <c r="AJ12" s="549" t="str">
        <f>IF(ISNUMBER(Datos!EN12),Datos!EN12," - ")</f>
        <v xml:space="preserve"> - </v>
      </c>
      <c r="AK12" s="549"/>
      <c r="AL12" s="550"/>
      <c r="AM12" s="766">
        <f>IF(ISNUMBER(Datos!R12),Datos!R12," - ")</f>
        <v>2812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143</v>
      </c>
      <c r="BD12" s="693">
        <f>IF(ISNUMBER(Datos!N12),Datos!N12," - ")</f>
        <v>291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0.83088235294117652</v>
      </c>
      <c r="BH12" s="764">
        <f>IF(ISNUMBER(((IF(J_V="SI",Datos!L12/Datos!K12,(Datos!L12+Datos!AB12)/(Datos!K12+Datos!AA12)))*11)/factor_trimestre),((IF(J_V="SI",Datos!L12/Datos!K12,(Datos!L12+Datos!AB12)/(Datos!K12+Datos!AA12)))*11)/factor_trimestre," - ")</f>
        <v>6.7079646017699126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-4.0273037542662114E-2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34</v>
      </c>
      <c r="G14" s="1197">
        <f t="shared" si="1"/>
        <v>34</v>
      </c>
      <c r="H14" s="1198">
        <f t="shared" si="1"/>
        <v>0</v>
      </c>
      <c r="I14" s="1197">
        <f t="shared" si="1"/>
        <v>0</v>
      </c>
      <c r="J14" s="1164">
        <f t="shared" si="1"/>
        <v>0</v>
      </c>
      <c r="K14" s="1164">
        <f t="shared" si="1"/>
        <v>0</v>
      </c>
      <c r="L14" s="1198">
        <f t="shared" si="1"/>
        <v>0</v>
      </c>
      <c r="M14" s="1198">
        <f t="shared" si="1"/>
        <v>0</v>
      </c>
      <c r="N14" s="1198">
        <f t="shared" si="1"/>
        <v>96</v>
      </c>
      <c r="O14" s="1199">
        <f t="shared" si="1"/>
        <v>0</v>
      </c>
      <c r="P14" s="1199">
        <f t="shared" si="1"/>
        <v>0</v>
      </c>
      <c r="Q14" s="1198">
        <f t="shared" si="1"/>
        <v>190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9</v>
      </c>
      <c r="AC14" s="1198">
        <f t="shared" si="2"/>
        <v>307</v>
      </c>
      <c r="AD14" s="1198">
        <f t="shared" si="2"/>
        <v>0</v>
      </c>
      <c r="AE14" s="1198">
        <f t="shared" si="2"/>
        <v>0</v>
      </c>
      <c r="AF14" s="1198">
        <f t="shared" si="2"/>
        <v>36</v>
      </c>
      <c r="AG14" s="1198">
        <f t="shared" si="2"/>
        <v>0</v>
      </c>
      <c r="AH14" s="1198">
        <f t="shared" si="2"/>
        <v>173</v>
      </c>
      <c r="AI14" s="1198">
        <f t="shared" si="2"/>
        <v>0</v>
      </c>
      <c r="AJ14" s="1198">
        <f t="shared" si="2"/>
        <v>0</v>
      </c>
      <c r="AK14" s="1198">
        <f t="shared" si="2"/>
        <v>0</v>
      </c>
      <c r="AL14" s="1198">
        <f t="shared" si="2"/>
        <v>0</v>
      </c>
      <c r="AM14" s="1198">
        <f t="shared" si="2"/>
        <v>2854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146</v>
      </c>
      <c r="BD14" s="1198">
        <f t="shared" si="2"/>
        <v>291</v>
      </c>
      <c r="BE14" s="1198">
        <f t="shared" si="2"/>
        <v>0</v>
      </c>
      <c r="BF14" s="1198">
        <f t="shared" si="2"/>
        <v>0</v>
      </c>
      <c r="BG14" s="1198">
        <f>IF(ISNUMBER(Datos!K14/Datos!J14),Datos!K14/Datos!J14," - ")</f>
        <v>0.82489740082079344</v>
      </c>
      <c r="BH14" s="1202">
        <f>IF(ISNUMBER(((Datos!L14/Datos!K14)*11)/factor_trimestre),((Datos!L14/Datos!K14)*11)/factor_trimestre," - ")</f>
        <v>6.8606965174129355</v>
      </c>
      <c r="BI14" s="1198">
        <f>IF(ISNUMBER('Resol  Asuntos'!D14/NºAsuntos!G14),'Resol  Asuntos'!D14/NºAsuntos!G14," - ")</f>
        <v>0.21251819505094613</v>
      </c>
      <c r="BJ14" s="1198" t="str">
        <f>IF(ISNUMBER(Datos!CI14/Datos!CJ14),Datos!CI14/Datos!CJ14," - ")</f>
        <v xml:space="preserve"> - </v>
      </c>
      <c r="BK14" s="1198">
        <f>SUBTOTAL(9,BK8:BK13)</f>
        <v>0</v>
      </c>
      <c r="BL14" s="1198">
        <f>IF(ISNUMBER((I14-AB14+L14)/(F14)),(I14-AB14+L14)/(F14)," - ")</f>
        <v>-0.26470588235294118</v>
      </c>
      <c r="BM14" s="1203">
        <f>SUBTOTAL(9,BM9:BM13)</f>
        <v>-1.5882793640223089E-2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1069</v>
      </c>
      <c r="G17" s="743">
        <f>IF(ISNUMBER(IF(D_I="SI",Datos!I17,Datos!I17+Datos!AC17)),IF(D_I="SI",Datos!I17,Datos!I17+Datos!AC17)," - ")</f>
        <v>1048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566</v>
      </c>
      <c r="AC17" s="240">
        <f>IF(ISNUMBER(Datos!Q17),Datos!Q17," - ")</f>
        <v>35</v>
      </c>
      <c r="AD17" s="374"/>
      <c r="AE17" s="562"/>
      <c r="AF17" s="741">
        <f>IF(ISNUMBER(IF(D_I="SI",Datos!L17,Datos!L17+Datos!AF17)),IF(D_I="SI",Datos!L17,Datos!L17+Datos!AF17)," - ")</f>
        <v>1026</v>
      </c>
      <c r="AG17" s="374"/>
      <c r="AH17" s="374"/>
      <c r="AI17" s="374"/>
      <c r="AJ17" s="549"/>
      <c r="AK17" s="374"/>
      <c r="AL17" s="545"/>
      <c r="AM17" s="375">
        <f>IF(ISNUMBER(Datos!R17),Datos!R17," - ")</f>
        <v>187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133</v>
      </c>
      <c r="BD17" s="243">
        <f>IF(ISNUMBER(Datos!N17),Datos!N17," - ")</f>
        <v>254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1.0822179732313575</v>
      </c>
      <c r="BH17" s="764">
        <f>IF(ISNUMBER(((IF(D_I="SI",Datos!L17/Datos!K17,(Datos!L17+Datos!AF17)/(Datos!K17+Datos!AE17)))*11)/factor_trimestre),((IF(D_I="SI",Datos!L17/Datos!K17,(Datos!L17+Datos!AF17)/(Datos!K17+Datos!AE17)))*11)/factor_trimestre," - ")</f>
        <v>5.4381625441696118</v>
      </c>
      <c r="BI17" s="266">
        <f>IF(ISNUMBER('Resol  Asuntos'!D17/NºAsuntos!G17),'Resol  Asuntos'!D17/NºAsuntos!G17," - ")</f>
        <v>0.23498233215547704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58</v>
      </c>
      <c r="AC18" s="547">
        <f>IF(ISNUMBER(Datos!Q18),Datos!Q18," - ")</f>
        <v>2</v>
      </c>
      <c r="AD18" s="549"/>
      <c r="AE18" s="562"/>
      <c r="AF18" s="551">
        <f>IF(ISNUMBER(Datos!L18),Datos!L18,"-")</f>
        <v>55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38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1.0175438596491229</v>
      </c>
      <c r="BH18" s="764">
        <f>IF(ISNUMBER(((IF(D_I="SI",Datos!L18/Datos!K18,(Datos!L18+Datos!AF18)/(Datos!K18+Datos!AE18)))*11)/factor_trimestre),((IF(D_I="SI",Datos!L18/Datos!K18,(Datos!L18+Datos!AF18)/(Datos!K18+Datos!AE18)))*11)/factor_trimestre," - ")</f>
        <v>2.8448275862068968</v>
      </c>
      <c r="BI18" s="763">
        <f>IF(ISNUMBER('Resol  Asuntos'!D18/NºAsuntos!G18),'Resol  Asuntos'!D18/NºAsuntos!G18," - ")</f>
        <v>8.6206896551724144E-2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1069</v>
      </c>
      <c r="G23" s="1197">
        <f>SUBTOTAL(9,G16:G22)</f>
        <v>1104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624</v>
      </c>
      <c r="AC23" s="1198">
        <f t="shared" si="5"/>
        <v>37</v>
      </c>
      <c r="AD23" s="1198">
        <f t="shared" si="5"/>
        <v>0</v>
      </c>
      <c r="AE23" s="1198">
        <f t="shared" si="5"/>
        <v>0</v>
      </c>
      <c r="AF23" s="1198">
        <f t="shared" si="5"/>
        <v>1081</v>
      </c>
      <c r="AG23" s="1198">
        <f t="shared" si="5"/>
        <v>0</v>
      </c>
      <c r="AH23" s="1198">
        <f t="shared" si="5"/>
        <v>0</v>
      </c>
      <c r="AI23" s="1198">
        <f t="shared" si="5"/>
        <v>0</v>
      </c>
      <c r="AJ23" s="1198">
        <f t="shared" si="5"/>
        <v>0</v>
      </c>
      <c r="AK23" s="1198">
        <f t="shared" si="5"/>
        <v>0</v>
      </c>
      <c r="AL23" s="1198">
        <f t="shared" si="5"/>
        <v>0</v>
      </c>
      <c r="AM23" s="1198">
        <f t="shared" si="5"/>
        <v>187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138</v>
      </c>
      <c r="BD23" s="1198">
        <f t="shared" si="5"/>
        <v>292</v>
      </c>
      <c r="BE23" s="1198">
        <f t="shared" si="5"/>
        <v>0</v>
      </c>
      <c r="BF23" s="1198">
        <f t="shared" si="5"/>
        <v>0</v>
      </c>
      <c r="BG23" s="1198">
        <f>IF(ISNUMBER(Datos!K23/Datos!J23),Datos!K23/Datos!J23," - ")</f>
        <v>1.0758620689655172</v>
      </c>
      <c r="BH23" s="1202">
        <f>IF(ISNUMBER(((Datos!L23/Datos!K23)*11)/factor_trimestre),((Datos!L23/Datos!K23)*11)/factor_trimestre," - ")</f>
        <v>5.197115384615385</v>
      </c>
      <c r="BI23" s="1198">
        <f>SUBTOTAL(9,BI16:BI22)</f>
        <v>0.32118922870720118</v>
      </c>
      <c r="BJ23" s="1198">
        <f>SUBTOTAL(9,BJ16:BJ22)</f>
        <v>0</v>
      </c>
      <c r="BK23" s="1198">
        <f>SUBTOTAL(9,BK16:BK22)</f>
        <v>0</v>
      </c>
      <c r="BL23" s="1198">
        <f>IF(ISNUMBER((I23-AB23+L23)/(F23)),(I23-AB23+L23)/(F23)," - ")</f>
        <v>-0.58372310570626751</v>
      </c>
      <c r="BM23" s="1205">
        <f>IF(ISNUMBER((Datos!P23-Datos!Q23)/(Datos!R23-Datos!P23+Datos!Q23)),(Datos!P23-Datos!Q23)/(Datos!R23-Datos!P23+Datos!Q23)," - ")</f>
        <v>0.1761006289308176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1103</v>
      </c>
      <c r="G31" s="1117">
        <f t="shared" si="18"/>
        <v>1138</v>
      </c>
      <c r="H31" s="1119">
        <f t="shared" si="18"/>
        <v>0</v>
      </c>
      <c r="I31" s="1117">
        <f t="shared" si="18"/>
        <v>0</v>
      </c>
      <c r="J31" s="1119">
        <f t="shared" si="18"/>
        <v>0</v>
      </c>
      <c r="K31" s="1119">
        <f t="shared" si="18"/>
        <v>0</v>
      </c>
      <c r="L31" s="1180">
        <f t="shared" si="18"/>
        <v>0</v>
      </c>
      <c r="M31" s="1180">
        <f t="shared" si="18"/>
        <v>0</v>
      </c>
      <c r="N31" s="1180">
        <f t="shared" si="18"/>
        <v>96</v>
      </c>
      <c r="O31" s="1180">
        <f t="shared" si="18"/>
        <v>0</v>
      </c>
      <c r="P31" s="1180">
        <f t="shared" si="18"/>
        <v>0</v>
      </c>
      <c r="Q31" s="1119">
        <f t="shared" si="18"/>
        <v>255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633</v>
      </c>
      <c r="AC31" s="1118">
        <f t="shared" si="19"/>
        <v>344</v>
      </c>
      <c r="AD31" s="1118">
        <f t="shared" si="19"/>
        <v>0</v>
      </c>
      <c r="AE31" s="1118">
        <f t="shared" si="19"/>
        <v>0</v>
      </c>
      <c r="AF31" s="1125">
        <f t="shared" si="19"/>
        <v>1117</v>
      </c>
      <c r="AG31" s="1125">
        <f t="shared" si="19"/>
        <v>0</v>
      </c>
      <c r="AH31" s="1125">
        <f t="shared" si="19"/>
        <v>173</v>
      </c>
      <c r="AI31" s="1125">
        <f t="shared" si="19"/>
        <v>0</v>
      </c>
      <c r="AJ31" s="1118">
        <f t="shared" si="19"/>
        <v>0</v>
      </c>
      <c r="AK31" s="1125">
        <f t="shared" si="19"/>
        <v>0</v>
      </c>
      <c r="AL31" s="1125">
        <f t="shared" si="19"/>
        <v>0</v>
      </c>
      <c r="AM31" s="1125">
        <f t="shared" si="19"/>
        <v>3041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284</v>
      </c>
      <c r="BD31" s="1117">
        <f t="shared" si="19"/>
        <v>583</v>
      </c>
      <c r="BE31" s="1117">
        <f t="shared" si="19"/>
        <v>0</v>
      </c>
      <c r="BF31" s="1127">
        <f t="shared" si="19"/>
        <v>0</v>
      </c>
      <c r="BG31" s="1223">
        <f>IF(ISNUMBER(Datos!K31/Datos!J31),Datos!K31/Datos!J31," - ")</f>
        <v>0.93592677345537756</v>
      </c>
      <c r="BH31" s="1223">
        <f>IF(ISNUMBER(((Datos!L31/Datos!K31)*11)/factor_trimestre),((Datos!L31/Datos!K31)*11)/factor_trimestre," - ")</f>
        <v>6.0146699266503676</v>
      </c>
      <c r="BI31" s="1103">
        <f>IF(ISNUMBER(Datos!J31/Datos!I31),Datos!J31/Datos!I31," - ")</f>
        <v>0.55906183368869933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-0.57388939256572979</v>
      </c>
      <c r="BM31" s="1188">
        <f>IF(ISNUMBER((Datos!P31-Datos!Q31+R31)/(Datos!R31-Datos!P31+Datos!Q31-R31)),(Datos!P31-Datos!Q31+R31)/(Datos!R31-Datos!P31+Datos!Q31-R31)," - ")</f>
        <v>-2.8434504792332269E-2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325.14285714285717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543.46321555986356</v>
      </c>
      <c r="G33" s="674">
        <f>IF(ISNUMBER(STDEV(G8:G30)),STDEV(G8:G30),"-")</f>
        <v>513.5729187341783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284.10469230633311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73.876344561126501</v>
      </c>
      <c r="BD33" s="673"/>
      <c r="BE33" s="673">
        <f>IF(ISNUMBER(STDEV(BE8:BE30)),STDEV(BE8:BE30),"-")</f>
        <v>0</v>
      </c>
      <c r="BF33" s="678">
        <f>IF(ISNUMBER(STDEV(BF8:BF30)),STDEV(BF8:BF30),"-")</f>
        <v>0</v>
      </c>
      <c r="BG33" s="1052">
        <f>IF(ISNUMBER(STDEV(BG8:BG30)),STDEV(BG8:BG30),"-")</f>
        <v>0.13013618172557725</v>
      </c>
      <c r="BH33" s="1058">
        <f>IF(ISNUMBER(STDEV(BH8:BH30)),STDEV(BH8:BH30),"-")</f>
        <v>3.0531376440418159</v>
      </c>
      <c r="BI33" s="273">
        <f>IF(ISNUMBER(STDEV(BI8:BI30)),STDEV(BI8:BI30),"-")</f>
        <v>9.7061419909303906E-2</v>
      </c>
      <c r="BJ33" s="244" t="str">
        <f>IF(ISNUMBER(BL33/BM33),BL33/BM33," - ")</f>
        <v xml:space="preserve"> - </v>
      </c>
      <c r="BK33" s="709"/>
      <c r="BL33" s="681">
        <f>IF(ISNUMBER(STDEV(BL8:BL30)),STDEV(BL8:BL30),"-")</f>
        <v>0.22557924194844059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EGPlZtT2Olvmcyr6Pvjh1tYGmq+qy4uAtRwKXmS2/dwhz0xzIg+GLokAjBnzHkxT/LD3e5RbDVQPCW7kKPmtGg==" saltValue="/2h6nUJTqLpH0hzoQkYwF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PAIS VASCO</v>
      </c>
    </row>
    <row r="2" spans="1:73" ht="16.5" customHeight="1">
      <c r="C2" s="647" t="str">
        <f>Criterios!A10 &amp;"  "&amp;Criterios!B10 &amp; "  " &amp; IF(NOT(ISBLANK(Criterios!A11)),Criterios!A11 &amp;"  "&amp;Criterios!B11,"")</f>
        <v>Provincias  BIZKAIA  Resumenes por Partidos Judiciales  DURANGO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34</v>
      </c>
      <c r="G10" s="552">
        <f>IF(ISNUMBER(Datos!I10),Datos!I10," - ")</f>
        <v>34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9</v>
      </c>
      <c r="Z10" s="805">
        <f>IF(ISNUMBER(Datos!Q10),Datos!Q10," - ")</f>
        <v>1</v>
      </c>
      <c r="AA10" s="551">
        <f>IF(ISNUMBER(Datos!L10),Datos!L10,"-")</f>
        <v>36</v>
      </c>
      <c r="AB10" s="549"/>
      <c r="AC10" s="549"/>
      <c r="AD10" s="563"/>
      <c r="AE10" s="563">
        <f>IF(ISNUMBER(Datos!R10),Datos!R10," - ")</f>
        <v>42</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2.4390243902439025E-2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188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306</v>
      </c>
      <c r="AA12" s="551" t="str">
        <f>IF(ISNUMBER(IF(J_V="SI",Datos!L12,Datos!L12+Datos!AB12)-IF(Monitorios="SI",Datos!CD12,0)),
                          IF(J_V="SI",Datos!L12,Datos!L12+Datos!AB12)-IF(Monitorios="SI",Datos!CD12,0),
                          " - ")</f>
        <v xml:space="preserve"> - </v>
      </c>
      <c r="AB12" s="549"/>
      <c r="AC12" s="549"/>
      <c r="AD12" s="563"/>
      <c r="AE12" s="563">
        <f>IF(ISNUMBER(Datos!R12),Datos!R12," - ")</f>
        <v>2812</v>
      </c>
      <c r="AF12" s="693" t="str">
        <f>IF(ISNUMBER(Datos!BV12),Datos!BV12," - ")</f>
        <v xml:space="preserve"> - </v>
      </c>
      <c r="AG12" s="552" t="str">
        <f>IF(ISNUMBER(Datos!DV12),Datos!DV12," - ")</f>
        <v xml:space="preserve"> - </v>
      </c>
      <c r="AH12" s="553"/>
      <c r="AI12" s="554"/>
      <c r="AJ12" s="552">
        <f>IF(ISNUMBER(Datos!M12),Datos!M12," - ")</f>
        <v>143</v>
      </c>
      <c r="AK12" s="693">
        <f>IF(ISNUMBER(Datos!N12),Datos!N12," - ")</f>
        <v>291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6.7079646017699126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-4.0273037542662114E-2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34</v>
      </c>
      <c r="G14" s="1197">
        <f>SUBTOTAL(9,G8:G13)</f>
        <v>34</v>
      </c>
      <c r="H14" s="1211"/>
      <c r="I14" s="1197">
        <f t="shared" ref="I14:N14" si="1">SUBTOTAL(9,I8:I13)</f>
        <v>0</v>
      </c>
      <c r="J14" s="1164">
        <f t="shared" si="1"/>
        <v>0</v>
      </c>
      <c r="K14" s="1211">
        <f t="shared" si="1"/>
        <v>0</v>
      </c>
      <c r="L14" s="1211">
        <f t="shared" si="1"/>
        <v>0</v>
      </c>
      <c r="M14" s="1211">
        <f t="shared" si="1"/>
        <v>0</v>
      </c>
      <c r="N14" s="1211">
        <f t="shared" si="1"/>
        <v>190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9</v>
      </c>
      <c r="Z14" s="1210">
        <f t="shared" si="3"/>
        <v>307</v>
      </c>
      <c r="AA14" s="1199">
        <f t="shared" si="3"/>
        <v>36</v>
      </c>
      <c r="AB14" s="1199">
        <f t="shared" si="3"/>
        <v>0</v>
      </c>
      <c r="AC14" s="1199">
        <f t="shared" si="3"/>
        <v>0</v>
      </c>
      <c r="AD14" s="1199">
        <f t="shared" si="3"/>
        <v>0</v>
      </c>
      <c r="AE14" s="1199">
        <f t="shared" si="3"/>
        <v>2854</v>
      </c>
      <c r="AF14" s="1211">
        <f t="shared" si="3"/>
        <v>0</v>
      </c>
      <c r="AG14" s="1211">
        <f t="shared" si="3"/>
        <v>0</v>
      </c>
      <c r="AH14" s="1211">
        <f t="shared" si="3"/>
        <v>0</v>
      </c>
      <c r="AI14" s="1211">
        <f t="shared" si="3"/>
        <v>0</v>
      </c>
      <c r="AJ14" s="1211">
        <f t="shared" si="3"/>
        <v>146</v>
      </c>
      <c r="AK14" s="1211">
        <f t="shared" si="3"/>
        <v>291</v>
      </c>
      <c r="AL14" s="1211">
        <f t="shared" si="3"/>
        <v>0</v>
      </c>
      <c r="AM14" s="1211">
        <f t="shared" si="3"/>
        <v>0</v>
      </c>
      <c r="AN14" s="1211">
        <f t="shared" si="3"/>
        <v>0</v>
      </c>
      <c r="AO14" s="1203">
        <f>IF(ISNUMBER(((NºAsuntos!I14/NºAsuntos!G14)*11)/factor_trimestre),((NºAsuntos!I14/NºAsuntos!G14)*11)/factor_trimestre," - ")</f>
        <v>6.7772925764192147</v>
      </c>
      <c r="AP14" s="1213" t="str">
        <f>IF(ISNUMBER(Datos!CI14/Datos!CJ14),Datos!CI14/Datos!CJ14," - ")</f>
        <v xml:space="preserve"> - </v>
      </c>
      <c r="AQ14" s="1236">
        <f t="shared" ref="AQ14:AV14" si="4">SUBTOTAL(9,AQ9:AQ13)</f>
        <v>0</v>
      </c>
      <c r="AR14" s="1236">
        <f t="shared" si="4"/>
        <v>-1.5882793640223089E-2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1069</v>
      </c>
      <c r="G17" s="552">
        <f>IF(ISNUMBER(IF(D_I="SI",Datos!I17,Datos!I17+Datos!AC17)),IF(D_I="SI",Datos!I17,Datos!I17+Datos!AC17)," - ")</f>
        <v>1048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566</v>
      </c>
      <c r="Z17" s="805">
        <f>IF(ISNUMBER(Datos!Q17),Datos!Q17," - ")</f>
        <v>35</v>
      </c>
      <c r="AA17" s="551">
        <f>IF(ISNUMBER(IF(D_I="SI",Datos!L17,Datos!L17+Datos!AF17)),IF(D_I="SI",Datos!L17,Datos!L17+Datos!AF17)," - ")</f>
        <v>1026</v>
      </c>
      <c r="AB17" s="549"/>
      <c r="AC17" s="549"/>
      <c r="AD17" s="563"/>
      <c r="AE17" s="563">
        <f>IF(ISNUMBER(Datos!R17),Datos!R17," - ")</f>
        <v>187</v>
      </c>
      <c r="AF17" s="693" t="str">
        <f>IF(ISNUMBER(Datos!BV17),Datos!BV17," - ")</f>
        <v xml:space="preserve"> - </v>
      </c>
      <c r="AG17" s="552"/>
      <c r="AH17" s="553"/>
      <c r="AI17" s="554"/>
      <c r="AJ17" s="552">
        <f>IF(ISNUMBER(Datos!M17),Datos!M17," - ")</f>
        <v>133</v>
      </c>
      <c r="AK17" s="693">
        <f>IF(ISNUMBER(Datos!N17),Datos!N17," - ")</f>
        <v>254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5.4381625441696118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58</v>
      </c>
      <c r="Z18" s="805">
        <f>IF(ISNUMBER(Datos!Q18),Datos!Q18," - ")</f>
        <v>2</v>
      </c>
      <c r="AA18" s="551">
        <f>IF(ISNUMBER(Datos!L18),Datos!L18,"-")</f>
        <v>55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5</v>
      </c>
      <c r="AK18" s="693">
        <f>IF(ISNUMBER(Datos!N18),Datos!N18," - ")</f>
        <v>38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2.8448275862068968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1069</v>
      </c>
      <c r="G23" s="1197">
        <f>SUBTOTAL(9,G16:G22)</f>
        <v>1104</v>
      </c>
      <c r="H23" s="1240">
        <f>SUBTOTAL(9,H16:H22)</f>
        <v>0</v>
      </c>
      <c r="I23" s="1217">
        <f>SUBTOTAL(9,I16:I22)</f>
        <v>0</v>
      </c>
      <c r="J23" s="1164">
        <f>SUBTOTAL(9,J15:J22)</f>
        <v>0</v>
      </c>
      <c r="K23" s="1240">
        <f t="shared" ref="K23:S23" si="5">SUBTOTAL(9,K16:K22)</f>
        <v>0</v>
      </c>
      <c r="L23" s="1240">
        <f t="shared" si="5"/>
        <v>0</v>
      </c>
      <c r="M23" s="1240">
        <f t="shared" si="5"/>
        <v>0</v>
      </c>
      <c r="N23" s="1240">
        <f t="shared" si="5"/>
        <v>65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624</v>
      </c>
      <c r="Z23" s="1240">
        <f t="shared" si="6"/>
        <v>37</v>
      </c>
      <c r="AA23" s="1240">
        <f t="shared" si="6"/>
        <v>1081</v>
      </c>
      <c r="AB23" s="1240">
        <f t="shared" si="6"/>
        <v>0</v>
      </c>
      <c r="AC23" s="1240">
        <f t="shared" si="6"/>
        <v>0</v>
      </c>
      <c r="AD23" s="1240">
        <f t="shared" si="6"/>
        <v>0</v>
      </c>
      <c r="AE23" s="1240">
        <f t="shared" si="6"/>
        <v>187</v>
      </c>
      <c r="AF23" s="1240">
        <f t="shared" si="6"/>
        <v>0</v>
      </c>
      <c r="AG23" s="1240">
        <f t="shared" si="6"/>
        <v>0</v>
      </c>
      <c r="AH23" s="1240">
        <f t="shared" si="6"/>
        <v>0</v>
      </c>
      <c r="AI23" s="1240">
        <f t="shared" si="6"/>
        <v>0</v>
      </c>
      <c r="AJ23" s="1240">
        <f t="shared" si="6"/>
        <v>138</v>
      </c>
      <c r="AK23" s="1240">
        <f t="shared" si="6"/>
        <v>292</v>
      </c>
      <c r="AL23" s="1240">
        <f t="shared" si="6"/>
        <v>0</v>
      </c>
      <c r="AM23" s="1240">
        <f t="shared" si="6"/>
        <v>0</v>
      </c>
      <c r="AN23" s="1240">
        <f t="shared" si="6"/>
        <v>0</v>
      </c>
      <c r="AO23" s="1242">
        <f>IF(ISNUMBER(((NºAsuntos!I23/NºAsuntos!G23)*11)/factor_trimestre),((NºAsuntos!I23/NºAsuntos!G23)*11)/factor_trimestre," - ")</f>
        <v>5.197115384615385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1103</v>
      </c>
      <c r="G31" s="1117">
        <f t="shared" si="12"/>
        <v>1138</v>
      </c>
      <c r="H31" s="1118">
        <f t="shared" si="12"/>
        <v>0</v>
      </c>
      <c r="I31" s="1117">
        <f t="shared" si="12"/>
        <v>0</v>
      </c>
      <c r="J31" s="1119">
        <f t="shared" si="12"/>
        <v>0</v>
      </c>
      <c r="K31" s="1117">
        <f t="shared" si="12"/>
        <v>0</v>
      </c>
      <c r="L31" s="1120">
        <f t="shared" si="12"/>
        <v>0</v>
      </c>
      <c r="M31" s="1117">
        <f t="shared" si="12"/>
        <v>0</v>
      </c>
      <c r="N31" s="1118">
        <f t="shared" si="12"/>
        <v>255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633</v>
      </c>
      <c r="Z31" s="1124">
        <f t="shared" si="13"/>
        <v>344</v>
      </c>
      <c r="AA31" s="1125">
        <f t="shared" si="13"/>
        <v>1117</v>
      </c>
      <c r="AB31" s="1125">
        <f t="shared" si="13"/>
        <v>0</v>
      </c>
      <c r="AC31" s="1125">
        <f t="shared" si="13"/>
        <v>0</v>
      </c>
      <c r="AD31" s="1126">
        <f t="shared" si="13"/>
        <v>0</v>
      </c>
      <c r="AE31" s="1126">
        <f t="shared" si="13"/>
        <v>3041</v>
      </c>
      <c r="AF31" s="1127">
        <f t="shared" si="13"/>
        <v>0</v>
      </c>
      <c r="AG31" s="1128">
        <f t="shared" si="13"/>
        <v>0</v>
      </c>
      <c r="AH31" s="1129">
        <f t="shared" si="13"/>
        <v>0</v>
      </c>
      <c r="AI31" s="1127">
        <f t="shared" si="13"/>
        <v>0</v>
      </c>
      <c r="AJ31" s="1117">
        <f t="shared" si="13"/>
        <v>284</v>
      </c>
      <c r="AK31" s="1117">
        <f t="shared" si="13"/>
        <v>583</v>
      </c>
      <c r="AL31" s="1117">
        <f t="shared" si="13"/>
        <v>0</v>
      </c>
      <c r="AM31" s="1130">
        <f t="shared" si="13"/>
        <v>0</v>
      </c>
      <c r="AN31" s="1120">
        <f>IF(ISNUMBER(Datos!K31/Datos!J31),Datos!K31/Datos!J31," - ")</f>
        <v>0.93592677345537756</v>
      </c>
      <c r="AO31" s="1120">
        <f>IF(ISNUMBER(FIND("06",Criterios!A8,1)),(IF(ISNUMBER(((Datos!R31/Datos!Q31)*11)/factor_trimestre),((Datos!R31/Datos!Q31)*11)/factor_trimestre," - ")),(IF(ISNUMBER(((Datos!L31/Datos!K31)*11)/factor_trimestre),((Datos!L31/Datos!K31)*11)/factor_trimestre," - ")))</f>
        <v>6.0146699266503676</v>
      </c>
      <c r="AP31" s="1131" t="str">
        <f>IF(ISNUMBER(Datos!CI31/Datos!CJ31),Datos!CI31/Datos!CJ31," - ")</f>
        <v xml:space="preserve"> - </v>
      </c>
      <c r="AQ31" s="1131">
        <f>IF(OR(ISNUMBER(FIND("01",Criterios!A8,1)),ISNUMBER(FIND("02",Criterios!A8,1)),ISNUMBER(FIND("03",Criterios!A8,1)),ISNUMBER(FIND("04",Criterios!A8,1))),(J31-Y31+K31)/(F31-K31),(I31-Y31+K31)/(F31-K31))</f>
        <v>-0.57388939256572979</v>
      </c>
      <c r="AR31" s="1131">
        <f>IF(ISNUMBER((Datos!P31-Datos!Q31+O31)/(Datos!R31-Datos!P31+Datos!Q31-O31)),(Datos!P31-Datos!Q31+O31)/(Datos!R31-Datos!P31+Datos!Q31-O31)," - ")</f>
        <v>-2.8434504792332269E-2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325.14285714285717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543.46321555986356</v>
      </c>
      <c r="G33" s="674">
        <f>IF(ISNUMBER(STDEV(G8:G30)),STDEV(G8:G30),"-")</f>
        <v>513.5729187341783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73.876344561126501</v>
      </c>
      <c r="AK33" s="276"/>
      <c r="AL33" s="276">
        <f>IF(ISNUMBER(STDEV(AL8:AL30)),STDEV(AL8:AL30),"-")</f>
        <v>0</v>
      </c>
      <c r="AM33" s="278">
        <f>IF(ISNUMBER(STDEV(AM8:AM30)),STDEV(AM8:AM30),"-")</f>
        <v>0</v>
      </c>
      <c r="AN33" s="660">
        <f>IF(ISNUMBER(STDEV(AN8:AN30)),STDEV(AN8:AN30),"-")</f>
        <v>0</v>
      </c>
      <c r="AO33" s="661">
        <f>IF(ISNUMBER(STDEV(AO8:AO30)),STDEV(AO8:AO30),"-")</f>
        <v>3.0514007593077719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RyayGa3t1IoYqal+sAig5RQDjKaIk7etWlO8zMcCeVt0qHvkMRwtr3rDTxhl9GSmoYDDm0hra4L8qDpk680ukA==" saltValue="2fULiwDuVH9nFKhtzNyDc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EIKNNj977bWRlrUcNq3B7yySIIu9G3i1TBDER3U9aecfYGmg1fzfW2TQHkxzYgObIOO/BOWos847baFMJOU3Xw==" saltValue="7tdIgEv2yhmX3tSs71vu2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SVCq9MNw3jJh0eQgxdZuWdYjingXdG1K549qF/sCttVsFUVMYLgGH08OKEhu3mUzhjCHbRucCQw+sXMuTgRYg==" saltValue="7fMAPgD7aFXajvKpesOhu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PAIS VASCO</v>
      </c>
      <c r="F1" s="856"/>
    </row>
    <row r="2" spans="1:75" ht="16.5" customHeight="1">
      <c r="C2" s="567" t="str">
        <f>Criterios!A10 &amp;"  "&amp;Criterios!B10 &amp; "  " &amp; IF(NOT(ISBLANK(Criterios!A11)),Criterios!A11 &amp;"  "&amp;Criterios!B11,"")</f>
        <v>Provincias  BIZKAIA  Resumenes por Partidos Judiciales  DURANGO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0.21251819505094613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0.15027305684604939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xuIG1LuHcqNFP3G6PCGPy+aved0O73WQ9EYsgoZKYWa6fu/VQYgfSFT9YUu1pXQk8rTIDJBQsgUmQJRazYHeWw==" saltValue="zDl8F9UNIyXSrar4x1PrN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KkkGLOdmjoKJP1tApKIp+JT4e01DpFTCmtF8uLmF2VveuGGpDY6Nrp78Enl+DjEMhcTAsrHK240F/vAKzFdk8A==" saltValue="Nfb4BSZEE9/1tE6H2nrhs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PAIS VASCO</v>
      </c>
      <c r="C2" s="436"/>
      <c r="D2" s="436"/>
      <c r="E2" s="436"/>
      <c r="F2" s="436"/>
    </row>
    <row r="3" spans="1:14" ht="19.5">
      <c r="A3" s="438" t="s">
        <v>159</v>
      </c>
      <c r="B3" s="439" t="str">
        <f>Criterios!A10 &amp;"  "&amp;Criterios!B10</f>
        <v>Provincias  BIZKAIA</v>
      </c>
      <c r="D3" s="436"/>
      <c r="E3" s="436"/>
      <c r="F3" s="436"/>
    </row>
    <row r="4" spans="1:14" ht="13.5" thickBot="1">
      <c r="A4" s="436"/>
      <c r="B4" s="439" t="str">
        <f>Criterios!A11 &amp;"  "&amp;Criterios!B11</f>
        <v>Resumenes por Partidos Judiciales  DURANGO</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34</v>
      </c>
      <c r="D10" s="452">
        <f>IF(ISNUMBER(C10/Datos!BH10),C10/Datos!BH10," - ")</f>
        <v>34</v>
      </c>
      <c r="E10" s="451">
        <f>IF(ISNUMBER(Datos!J10),Datos!J10," - ")</f>
        <v>11</v>
      </c>
      <c r="F10" s="452">
        <f>IF(ISNUMBER(E10/B10),E10/B10," - ")</f>
        <v>11</v>
      </c>
      <c r="G10" s="451">
        <f>IF(ISNUMBER(Datos!K10),Datos!K10," - ")</f>
        <v>9</v>
      </c>
      <c r="H10" s="452">
        <f>IF(ISNUMBER(G10/B10),G10/B10," - ")</f>
        <v>9</v>
      </c>
      <c r="I10" s="451">
        <f>IF(ISNUMBER(Datos!L10),Datos!L10," - ")</f>
        <v>36</v>
      </c>
      <c r="J10" s="452">
        <f>IF(ISNUMBER(I10/B10),I10/B10," - ")</f>
        <v>36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1387</v>
      </c>
      <c r="D12" s="452">
        <f>IF(ISNUMBER(C12/Datos!BH12),C12/Datos!BH12," - ")</f>
        <v>346.75</v>
      </c>
      <c r="E12" s="451">
        <f>IF(ISNUMBER(IF(J_V="SI",Datos!J12,Datos!J12+Datos!Z12)),IF(J_V="SI",Datos!J12,Datos!J12+Datos!Z12)," - ")</f>
        <v>816</v>
      </c>
      <c r="F12" s="452">
        <f>IF(ISNUMBER(E12/B12),E12/B12," - ")</f>
        <v>204</v>
      </c>
      <c r="G12" s="451">
        <f>IF(ISNUMBER(IF(J_V="SI",Datos!K12,Datos!K12+Datos!AA12)),IF(J_V="SI",Datos!K12,Datos!K12+Datos!AA12)," - ")</f>
        <v>678</v>
      </c>
      <c r="H12" s="452">
        <f>IF(ISNUMBER(G12/B12),G12/B12," - ")</f>
        <v>169.5</v>
      </c>
      <c r="I12" s="451">
        <f>IF(ISNUMBER(IF(J_V="SI",Datos!L12,Datos!L12+Datos!AB12)),IF(J_V="SI",Datos!L12,Datos!L12+Datos!AB12)," - ")</f>
        <v>1516</v>
      </c>
      <c r="J12" s="452">
        <f>IF(ISNUMBER(I12/B12),I12/B12," - ")</f>
        <v>379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1421</v>
      </c>
      <c r="D14" s="1147" t="str">
        <f>IF(ISNUMBER(C14/Datos!BI14),C14/Datos!BI14," - ")</f>
        <v xml:space="preserve"> - </v>
      </c>
      <c r="E14" s="1146">
        <f>SUBTOTAL(9,E8:E13)</f>
        <v>827</v>
      </c>
      <c r="F14" s="1147">
        <f>IF(ISNUMBER(E14/B14),E14/B14," - ")</f>
        <v>206.75</v>
      </c>
      <c r="G14" s="1146">
        <f>SUBTOTAL(9,G8:G13)</f>
        <v>687</v>
      </c>
      <c r="H14" s="1147">
        <f>IF(ISNUMBER(G14/B14),G14/B14," - ")</f>
        <v>171.75</v>
      </c>
      <c r="I14" s="1146">
        <f>SUBTOTAL(9,I8:I13)</f>
        <v>1552</v>
      </c>
      <c r="J14" s="1147">
        <f>IF(ISNUMBER(I14/B14),I14/B14," - ")</f>
        <v>388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1048</v>
      </c>
      <c r="D17" s="452">
        <f>IF(ISNUMBER(C17/Datos!BH17),C17/Datos!BH17," - ")</f>
        <v>262</v>
      </c>
      <c r="E17" s="451">
        <f>IF(ISNUMBER(IF(D_I="SI",Datos!J17,Datos!J17+Datos!AD17)),IF(D_I="SI",Datos!J17,Datos!J17+Datos!AD17)," - ")</f>
        <v>523</v>
      </c>
      <c r="F17" s="452">
        <f>IF(ISNUMBER(E17/B17),E17/B17," - ")</f>
        <v>130.75</v>
      </c>
      <c r="G17" s="451">
        <f>IF(ISNUMBER(IF(D_I="SI",Datos!K17,Datos!K17+Datos!AE17)),IF(D_I="SI",Datos!K17,Datos!K17+Datos!AE17)," - ")</f>
        <v>566</v>
      </c>
      <c r="H17" s="452">
        <f>IF(ISNUMBER(G17/B17),G17/B17," - ")</f>
        <v>141.5</v>
      </c>
      <c r="I17" s="451">
        <f>IF(ISNUMBER(IF(D_I="SI",Datos!L17,Datos!L17+Datos!AF17)),IF(D_I="SI",Datos!L17,Datos!L17+Datos!AF17)," - ")</f>
        <v>1026</v>
      </c>
      <c r="J17" s="452">
        <f>IF(ISNUMBER(I17/B17),I17/B17," - ")</f>
        <v>256.5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56</v>
      </c>
      <c r="D18" s="452">
        <f>IF(ISNUMBER(C18/Datos!BH18),C18/Datos!BH18," - ")</f>
        <v>56</v>
      </c>
      <c r="E18" s="451">
        <f>IF(ISNUMBER(IF(D_I="SI",Datos!J18,Datos!J18+Datos!AD18)),IF(D_I="SI",Datos!J18,Datos!J18+Datos!AD18)," - ")</f>
        <v>57</v>
      </c>
      <c r="F18" s="452">
        <f>IF(ISNUMBER(E18/B18),E18/B18," - ")</f>
        <v>57</v>
      </c>
      <c r="G18" s="451">
        <f>IF(ISNUMBER(IF(D_I="SI",Datos!K18,Datos!K18+Datos!AE18)),IF(D_I="SI",Datos!K18,Datos!K18+Datos!AE18)," - ")</f>
        <v>58</v>
      </c>
      <c r="H18" s="452">
        <f>IF(ISNUMBER(G18/B18),G18/B18," - ")</f>
        <v>58</v>
      </c>
      <c r="I18" s="451">
        <f>IF(ISNUMBER(IF(D_I="SI",Datos!L18,Datos!L18+Datos!AF18)),IF(D_I="SI",Datos!L18,Datos!L18+Datos!AF18)," - ")</f>
        <v>55</v>
      </c>
      <c r="J18" s="452">
        <f>IF(ISNUMBER(I18/B18),I18/B18," - ")</f>
        <v>55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1104</v>
      </c>
      <c r="D23" s="1147" t="str">
        <f>IF(ISNUMBER(C23/Datos!BI23),C23/Datos!BI23," - ")</f>
        <v xml:space="preserve"> - </v>
      </c>
      <c r="E23" s="1146">
        <f>SUBTOTAL(9,E15:E22)</f>
        <v>580</v>
      </c>
      <c r="F23" s="1147">
        <f>IF(ISNUMBER(E23/B23),E23/B23," - ")</f>
        <v>145</v>
      </c>
      <c r="G23" s="1146">
        <f>SUBTOTAL(9,G15:G22)</f>
        <v>624</v>
      </c>
      <c r="H23" s="1147">
        <f>IF(ISNUMBER(G23/B23),G23/B23," - ")</f>
        <v>156</v>
      </c>
      <c r="I23" s="1146">
        <f>SUBTOTAL(9,I15:I22)</f>
        <v>1081</v>
      </c>
      <c r="J23" s="1147">
        <f>IF(ISNUMBER(I23/B23),I23/B23," - ")</f>
        <v>270.25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2525</v>
      </c>
      <c r="D31" s="1085" t="str">
        <f>IF(ISNUMBER(C31/Datos!BI31),C31/Datos!BI31," - ")</f>
        <v xml:space="preserve"> - </v>
      </c>
      <c r="E31" s="1084">
        <f>SUBTOTAL(9,E9:E30)</f>
        <v>1407</v>
      </c>
      <c r="F31" s="1085">
        <f>IF(ISNUMBER(E31/B31),E31/B31," - ")</f>
        <v>351.75</v>
      </c>
      <c r="G31" s="1084">
        <f>SUBTOTAL(9,G9:G30)</f>
        <v>1311</v>
      </c>
      <c r="H31" s="1085">
        <f>IF(ISNUMBER(G31/B31),G31/B31," - ")</f>
        <v>327.75</v>
      </c>
      <c r="I31" s="1084">
        <f>SUBTOTAL(9,I9:I30)</f>
        <v>2633</v>
      </c>
      <c r="J31" s="1085">
        <f>IF(ISNUMBER(I31/B31),I31/B31," - ")</f>
        <v>658.25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iLCgGAzvFd8vkesjboXlhMPVhxks0BAtUzTLnmqTeIU+2dbyTxk/TALKqyOph25FGJlD9TZx8Rv/e3kCQ0OGMA==" saltValue="JGjQQ1C9STvpYKboWvjOU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PAIS VASCO</v>
      </c>
      <c r="F1" s="856"/>
      <c r="W1"/>
      <c r="X1"/>
      <c r="BE1" s="856"/>
    </row>
    <row r="2" spans="1:65" ht="16.5" customHeight="1">
      <c r="C2" s="567" t="str">
        <f>Criterios!A10 &amp;"  "&amp;Criterios!B10 &amp; "  " &amp; IF(NOT(ISBLANK(Criterios!A11)),Criterios!A11 &amp;"  "&amp;Criterios!B11,"")</f>
        <v>Provincias  BIZKAIA  Resumenes por Partidos Judiciales  DURANGO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34</v>
      </c>
      <c r="G10" s="906">
        <f>IF(ISNUMBER(Datos!I10),Datos!I10," - ")</f>
        <v>34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9</v>
      </c>
      <c r="AC10" s="905" t="str">
        <f>IF(ISNUMBER(IF(D_I="SI",DatosP!K18,DatosP!K18+DatosP!AE18)),IF(D_I="SI",DatosP!K18,DatosP!K18+DatosP!AE18)," - ")</f>
        <v xml:space="preserve"> - </v>
      </c>
      <c r="AD10" s="907"/>
      <c r="AE10" s="907"/>
      <c r="AF10" s="910">
        <f>IF(ISNUMBER(Datos!L10),Datos!L10,"-")</f>
        <v>36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188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306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2812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143</v>
      </c>
      <c r="AM12" s="914">
        <f>IF(ISNUMBER(Datos!N12+DatosP!N17),Datos!N12+DatosP!N17," - ")</f>
        <v>291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6.7079646017699126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-4.0273037542662114E-2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34</v>
      </c>
      <c r="G14" s="1256">
        <f t="shared" si="0"/>
        <v>34</v>
      </c>
      <c r="H14" s="1256">
        <f t="shared" si="0"/>
        <v>0</v>
      </c>
      <c r="I14" s="1258">
        <f t="shared" si="0"/>
        <v>0</v>
      </c>
      <c r="J14" s="1257">
        <f t="shared" si="0"/>
        <v>0</v>
      </c>
      <c r="K14" s="1257">
        <f t="shared" si="0"/>
        <v>0</v>
      </c>
      <c r="L14" s="1259">
        <f t="shared" si="0"/>
        <v>0</v>
      </c>
      <c r="M14" s="1259">
        <f t="shared" si="0"/>
        <v>0</v>
      </c>
      <c r="N14" s="1257">
        <f t="shared" si="0"/>
        <v>190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9</v>
      </c>
      <c r="AC14" s="1257">
        <f t="shared" si="1"/>
        <v>0</v>
      </c>
      <c r="AD14" s="1257">
        <f t="shared" si="1"/>
        <v>306</v>
      </c>
      <c r="AE14" s="1257">
        <f t="shared" si="1"/>
        <v>0</v>
      </c>
      <c r="AF14" s="1257">
        <f t="shared" si="1"/>
        <v>36</v>
      </c>
      <c r="AG14" s="1257">
        <f t="shared" si="1"/>
        <v>0</v>
      </c>
      <c r="AH14" s="1257">
        <f t="shared" si="1"/>
        <v>2812</v>
      </c>
      <c r="AI14" s="1257">
        <f t="shared" si="1"/>
        <v>0</v>
      </c>
      <c r="AJ14" s="1257">
        <f t="shared" si="1"/>
        <v>0</v>
      </c>
      <c r="AK14" s="1257">
        <f t="shared" si="1"/>
        <v>0</v>
      </c>
      <c r="AL14" s="1257">
        <f t="shared" si="1"/>
        <v>146</v>
      </c>
      <c r="AM14" s="1257">
        <f t="shared" si="1"/>
        <v>291</v>
      </c>
      <c r="AN14" s="1257">
        <f t="shared" si="1"/>
        <v>0</v>
      </c>
      <c r="AO14" s="1257">
        <f t="shared" si="1"/>
        <v>0</v>
      </c>
      <c r="AP14" s="1262">
        <f>IF(ISNUMBER(((Datos!L14/Datos!K14)*11)/factor_trimestre),((Datos!L14/Datos!K14)*11)/factor_trimestre," - ")</f>
        <v>6.8606965174129355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-0.26470588235294118</v>
      </c>
      <c r="AU14" s="1257" t="str">
        <f>IF(ISNUMBER((DatosP!#REF!-DatosP!#REF!+DatosP!#REF!)/(DatosP!#REF!+DatosP!#REF!-DatosP!#REF!-DatosP!#REF!)),(DatosP!#REF!-DatosP!#REF!+DatosP!#REF!)/(DatosP!#REF!+DatosP!#REF!-DatosP!#REF!-DatosP!#REF!)," - ")</f>
        <v xml:space="preserve"> - </v>
      </c>
      <c r="AV14" s="1263">
        <f>SUBTOTAL(9,AV9:AV13)</f>
        <v>-4.0273037542662114E-2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5.197115384615385</v>
      </c>
      <c r="AQ23" s="1262">
        <f>IF(ISNUMBER(((Datos!M23/Datos!L23)*11)/factor_trimestre),((Datos!M23/Datos!L23)*11)/factor_trimestre," - ")</f>
        <v>0.38297872340425526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0.1761006289308176</v>
      </c>
      <c r="AW23" s="1265">
        <f>IF(ISNUMBER((Datos!Q23-Datos!R23)/(Datos!S23-Datos!Q23+Datos!R23)),(Datos!Q23-Datos!R23)/(Datos!S23-Datos!Q23+Datos!R23)," - ")</f>
        <v>-0.11773940345368916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34</v>
      </c>
      <c r="G31" s="1278">
        <f t="shared" si="8"/>
        <v>34</v>
      </c>
      <c r="H31" s="1278">
        <f t="shared" si="8"/>
        <v>0</v>
      </c>
      <c r="I31" s="1279">
        <f t="shared" si="8"/>
        <v>0</v>
      </c>
      <c r="J31" s="1280">
        <f t="shared" si="8"/>
        <v>0</v>
      </c>
      <c r="K31" s="1280">
        <f t="shared" si="8"/>
        <v>0</v>
      </c>
      <c r="L31" s="1280">
        <f t="shared" si="8"/>
        <v>0</v>
      </c>
      <c r="M31" s="1280">
        <f t="shared" si="8"/>
        <v>0</v>
      </c>
      <c r="N31" s="1279">
        <f t="shared" si="8"/>
        <v>190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9</v>
      </c>
      <c r="AC31" s="1284">
        <f t="shared" si="9"/>
        <v>0</v>
      </c>
      <c r="AD31" s="1284">
        <f t="shared" si="9"/>
        <v>306</v>
      </c>
      <c r="AE31" s="1284">
        <f t="shared" si="9"/>
        <v>0</v>
      </c>
      <c r="AF31" s="1285">
        <f t="shared" si="9"/>
        <v>36</v>
      </c>
      <c r="AG31" s="1285">
        <f t="shared" si="9"/>
        <v>0</v>
      </c>
      <c r="AH31" s="1285">
        <f t="shared" si="9"/>
        <v>2812</v>
      </c>
      <c r="AI31" s="1285">
        <f t="shared" si="9"/>
        <v>0</v>
      </c>
      <c r="AJ31" s="1286">
        <f t="shared" si="9"/>
        <v>0</v>
      </c>
      <c r="AK31" s="1286">
        <f t="shared" si="9"/>
        <v>0</v>
      </c>
      <c r="AL31" s="1278">
        <f t="shared" si="9"/>
        <v>146</v>
      </c>
      <c r="AM31" s="1278">
        <f t="shared" si="9"/>
        <v>291</v>
      </c>
      <c r="AN31" s="1278">
        <f t="shared" si="9"/>
        <v>0</v>
      </c>
      <c r="AO31" s="1278">
        <f t="shared" si="9"/>
        <v>0</v>
      </c>
      <c r="AP31" s="1278">
        <f>IF(ISNUMBER(((Datos!L31/Datos!K31)*11)/factor_trimestre),((Datos!L31/Datos!K31)*11)/factor_trimestre," - ")</f>
        <v>6.0146699266503676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-0.26470588235294118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-2.8434504792332269E-2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18.62256695517565</v>
      </c>
      <c r="G33" s="1007">
        <f>IF(ISNUMBER(STDEV(G8:G30)),STDEV(G8:G30),"-")</f>
        <v>18.62256695517565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4.9295030175464953</v>
      </c>
      <c r="AC33" s="1008">
        <f>IF(ISNUMBER(STDEV(AC8:AC30)),STDEV(AC8:AC30),"-")</f>
        <v>0</v>
      </c>
      <c r="AD33" s="1011"/>
      <c r="AE33" s="1011"/>
      <c r="AF33" s="1011"/>
      <c r="AG33" s="1011"/>
      <c r="AH33" s="1011"/>
      <c r="AI33" s="1011"/>
      <c r="AJ33" s="1012">
        <f>IF(ISNUMBER(STDEV(AJ8:AJ30)),STDEV(AJ8:AJ30),"-")</f>
        <v>0</v>
      </c>
      <c r="AK33" s="1014"/>
      <c r="AL33" s="1006">
        <f>IF(ISNUMBER(STDEV(AL8:AL30)),STDEV(AL8:AL30),"-")</f>
        <v>74.247334407820105</v>
      </c>
      <c r="AM33" s="1006"/>
      <c r="AN33" s="1006">
        <f>IF(ISNUMBER(STDEV(AN8:AN30)),STDEV(AN8:AN30),"-")</f>
        <v>0</v>
      </c>
      <c r="AO33" s="1012">
        <f>IF(ISNUMBER(STDEV(AO8:AO30)),STDEV(AO8:AO30),"-")</f>
        <v>0</v>
      </c>
      <c r="AP33" s="1065">
        <f>IF(ISNUMBER(STDEV(AP8:AP30)),STDEV(AP8:AP30),"-")</f>
        <v>2.9688776304202995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TTGr549h18dyGKmzHU4AxTPh1Q32eGwtmhApLD1WAiXgfdWUYIEjkm/y7RnopESHo7qCwR1H1N5tRSdmwpjAGg==" saltValue="uJTetfjuVUD+gcdHVEFZz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PAIS VASCO</v>
      </c>
      <c r="C2" s="436"/>
      <c r="E2" s="436"/>
      <c r="F2" s="436"/>
      <c r="G2" s="436"/>
      <c r="H2" s="436"/>
    </row>
    <row r="3" spans="1:15" ht="39">
      <c r="A3" s="463" t="s">
        <v>280</v>
      </c>
      <c r="B3" s="439" t="str">
        <f>Criterios!A10 &amp;"  "&amp;Criterios!B10</f>
        <v>Provincias  BIZKAIA</v>
      </c>
      <c r="C3" s="463"/>
      <c r="F3" s="436"/>
      <c r="G3" s="436"/>
      <c r="H3" s="436"/>
    </row>
    <row r="4" spans="1:15" ht="13.5" thickBot="1">
      <c r="A4" s="436"/>
      <c r="B4" s="439" t="str">
        <f>Criterios!A11 &amp;"  "&amp;Criterios!B11</f>
        <v>Resumenes por Partidos Judiciales  DURANGO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FRwLgdLJw80uzZ14QOA/m8/TI9ZW8GgTcfZOig7RlfmqCeoAslLml1qwmKA3CtvHhf6jNZSx8g+QCBICdNQ2EQ==" saltValue="11iU1aKLZ8P/+oRTyZlwE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PAIS VASCO</v>
      </c>
      <c r="C2" s="475"/>
      <c r="D2" s="418"/>
    </row>
    <row r="3" spans="1:9" ht="19.5">
      <c r="A3" s="476" t="s">
        <v>16</v>
      </c>
      <c r="B3" s="477" t="str">
        <f>Criterios!A10 &amp;"  "&amp;Criterios!B10</f>
        <v>Provincias  BIZKAIA</v>
      </c>
      <c r="C3" s="475"/>
      <c r="D3" s="476"/>
    </row>
    <row r="4" spans="1:9" ht="13.5" thickBot="1">
      <c r="B4" s="477" t="str">
        <f>Criterios!A11 &amp;"  "&amp;Criterios!B11</f>
        <v>Resumenes por Partidos Judiciales  DURANGO</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143</v>
      </c>
      <c r="E12" s="452">
        <f t="shared" si="0"/>
        <v>35.75</v>
      </c>
      <c r="F12" s="451">
        <f>IF(ISNUMBER(Datos!N12),Datos!N12," - ")</f>
        <v>291</v>
      </c>
      <c r="G12" s="452">
        <f t="shared" si="1"/>
        <v>72.75</v>
      </c>
      <c r="H12" s="451">
        <f>IF(ISNUMBER(Datos!O12),Datos!O12," - ")</f>
        <v>193</v>
      </c>
      <c r="I12" s="452">
        <f t="shared" si="2"/>
        <v>48.25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146</v>
      </c>
      <c r="E14" s="1147">
        <f t="shared" si="0"/>
        <v>29.2</v>
      </c>
      <c r="F14" s="1146">
        <f>SUBTOTAL(9,F9:F13)</f>
        <v>291</v>
      </c>
      <c r="G14" s="1147">
        <f t="shared" si="1"/>
        <v>58.2</v>
      </c>
      <c r="H14" s="1146">
        <f>SUBTOTAL(9,H9:H13)</f>
        <v>193</v>
      </c>
      <c r="I14" s="1147">
        <f>IF(ISNUMBER(H14/B14),H14/B14," - ")</f>
        <v>38.6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133</v>
      </c>
      <c r="E17" s="452">
        <f t="shared" si="3"/>
        <v>33.25</v>
      </c>
      <c r="F17" s="451">
        <f>IF(ISNUMBER(Datos!N17),Datos!N17," - ")</f>
        <v>254</v>
      </c>
      <c r="G17" s="452">
        <f t="shared" si="4"/>
        <v>63.5</v>
      </c>
      <c r="H17" s="451">
        <f>IF(ISNUMBER(Datos!O17),Datos!O17," - ")</f>
        <v>0</v>
      </c>
      <c r="I17" s="452">
        <f t="shared" si="5"/>
        <v>0</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38</v>
      </c>
      <c r="G18" s="452">
        <f>IF(ISNUMBER(F18/B18),F18/B18," - ")</f>
        <v>38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138</v>
      </c>
      <c r="E23" s="1147">
        <f t="shared" si="3"/>
        <v>27.6</v>
      </c>
      <c r="F23" s="1146">
        <f>SUBTOTAL(9,F16:F22)</f>
        <v>292</v>
      </c>
      <c r="G23" s="1147">
        <f t="shared" si="4"/>
        <v>58.4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284</v>
      </c>
      <c r="E31" s="1085">
        <f>IF(ISNUMBER(D31/B31),D31/B31," - ")</f>
        <v>71</v>
      </c>
      <c r="F31" s="1084">
        <f>SUBTOTAL(9,F8:F30)</f>
        <v>583</v>
      </c>
      <c r="G31" s="1085">
        <f>IF(ISNUMBER(F31/B31),F31/B31," - ")</f>
        <v>145.75</v>
      </c>
      <c r="H31" s="1084">
        <f>SUBTOTAL(9,H8:H30)</f>
        <v>193</v>
      </c>
      <c r="I31" s="1085">
        <f>IF(ISNUMBER(H31/B31),H31/B31," - ")</f>
        <v>48.25</v>
      </c>
    </row>
    <row r="34" spans="1:1">
      <c r="A34" s="439" t="str">
        <f>Criterios!A4</f>
        <v>Fecha Informe: 05 may. 2023</v>
      </c>
    </row>
    <row r="39" spans="1:1">
      <c r="A39" s="462"/>
    </row>
  </sheetData>
  <sheetProtection algorithmName="SHA-512" hashValue="9CKlm9dcXEDVUJ5hi6Zs9AiVfvcu8zUr7F6ZnzHf715Ly975YSalWQ4lz3su9dcqOUUSOBj7CDjcMAZgj1OWYA==" saltValue="e5NiZKe9KlmIOrVo29Rg1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PAIS VASCO</v>
      </c>
    </row>
    <row r="3" spans="1:4" ht="19.5">
      <c r="A3" s="484" t="s">
        <v>48</v>
      </c>
      <c r="B3" s="439" t="str">
        <f>Criterios!A10 &amp;"  "&amp;Criterios!B10</f>
        <v>Provincias  BIZKAIA</v>
      </c>
    </row>
    <row r="4" spans="1:4" ht="13.5" thickBot="1">
      <c r="B4" s="439" t="str">
        <f>Criterios!A11 &amp;"  "&amp;Criterios!B11</f>
        <v>Resumenes por Partidos Judiciales  DURANGO</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1</v>
      </c>
      <c r="D10" s="456">
        <f>IF(ISNUMBER(Datos!R10),Datos!R10," - ")</f>
        <v>42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188</v>
      </c>
      <c r="C12" s="489">
        <f>IF(ISNUMBER(Datos!Q12),Datos!Q12," - ")</f>
        <v>306</v>
      </c>
      <c r="D12" s="456">
        <f>IF(ISNUMBER(Datos!R12),Datos!R12," - ")</f>
        <v>2812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190</v>
      </c>
      <c r="C14" s="1150">
        <f>SUBTOTAL(9,C9:C13)</f>
        <v>307</v>
      </c>
      <c r="D14" s="1148">
        <f>SUBTOTAL(9,D9:D13)</f>
        <v>2854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65</v>
      </c>
      <c r="C17" s="489">
        <f>IF(ISNUMBER(Datos!Q17),Datos!Q17," - ")</f>
        <v>35</v>
      </c>
      <c r="D17" s="456">
        <f>IF(ISNUMBER(Datos!R17),Datos!R17," - ")</f>
        <v>187</v>
      </c>
    </row>
    <row r="18" spans="1:4">
      <c r="A18" s="450" t="str">
        <f>Datos!A18</f>
        <v>Jdos. Violencia contra la mujer</v>
      </c>
      <c r="B18" s="488">
        <f>IF(ISNUMBER(Datos!P18),Datos!P18," - ")</f>
        <v>0</v>
      </c>
      <c r="C18" s="489">
        <f>IF(ISNUMBER(Datos!Q18),Datos!Q18," - ")</f>
        <v>2</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65</v>
      </c>
      <c r="C23" s="1150">
        <f>SUBTOTAL(9,C16:C22)</f>
        <v>37</v>
      </c>
      <c r="D23" s="1148">
        <f>SUBTOTAL(9,D16:D22)</f>
        <v>187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255</v>
      </c>
      <c r="C31" s="1089">
        <f>SUBTOTAL(9,C8:C30)</f>
        <v>344</v>
      </c>
      <c r="D31" s="1090">
        <f>SUBTOTAL(9,D8:D30)</f>
        <v>3041</v>
      </c>
    </row>
    <row r="32" spans="1:4" ht="7.5" customHeight="1"/>
    <row r="33" spans="1:1" ht="6" customHeight="1"/>
    <row r="34" spans="1:1">
      <c r="A34" s="439" t="str">
        <f>Criterios!A4</f>
        <v>Fecha Informe: 05 may. 2023</v>
      </c>
    </row>
    <row r="39" spans="1:1">
      <c r="A39" s="462"/>
    </row>
  </sheetData>
  <sheetProtection algorithmName="SHA-512" hashValue="LJw6EJ0iZD8eGPXVEKgAzEEUzDG8q7ipDayrh7RIhQFcVOVLgt7EYfXqBcYDR5hwaD0fp7ElpaPIumrhugS9BA==" saltValue="uh4S2ybTrqmfZPL9kLcts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PAIS VASCO</v>
      </c>
    </row>
    <row r="3" spans="1:11" ht="18.75" customHeight="1">
      <c r="A3" s="484" t="s">
        <v>162</v>
      </c>
      <c r="B3" s="439" t="str">
        <f>Criterios!A10 &amp;"  "&amp;Criterios!B10</f>
        <v>Provincias  BIZKAIA</v>
      </c>
    </row>
    <row r="4" spans="1:11" ht="10.5" customHeight="1" thickBot="1">
      <c r="B4" s="439" t="str">
        <f>Criterios!A11 &amp;"  "&amp;Criterios!B11</f>
        <v>Resumenes por Partidos Judiciales  DURANGO</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0.47826086956521741</v>
      </c>
      <c r="C10" s="515">
        <f>IF(ISNUMBER((Datos!J10-Datos!T10)/Datos!T10),(Datos!J10-Datos!T10)/Datos!T10," - ")</f>
        <v>0</v>
      </c>
      <c r="D10" s="515">
        <f>IF(ISNUMBER((Datos!K10-Datos!U10)/Datos!U10),(Datos!K10-Datos!U10)/Datos!U10," - ")</f>
        <v>-0.25</v>
      </c>
      <c r="E10" s="515">
        <f>IF(ISNUMBER((Datos!L10-Datos!V10)/Datos!V10),(Datos!L10-Datos!V10)/Datos!V10," - ")</f>
        <v>0.63636363636363635</v>
      </c>
      <c r="F10" s="515">
        <f>IF(ISNUMBER((Datos!M10-Datos!W10)/Datos!W10),(Datos!M10-Datos!W10)/Datos!W10," - ")</f>
        <v>2</v>
      </c>
      <c r="G10" s="516">
        <f>IF(ISNUMBER((Datos!N10-Datos!X10)/Datos!X10),(Datos!N10-Datos!X10)/Datos!X10," - ")</f>
        <v>-1</v>
      </c>
      <c r="H10" s="514">
        <f>IF(ISNUMBER(((NºAsuntos!G10/NºAsuntos!E10)-Datos!BD10)/Datos!BD10),((NºAsuntos!G10/NºAsuntos!E10)-Datos!BD10)/Datos!BD10," - ")</f>
        <v>-0.24999999999999989</v>
      </c>
      <c r="I10" s="515">
        <f>IF(ISNUMBER(((NºAsuntos!I10/NºAsuntos!G10)-Datos!BE10)/Datos!BE10),((NºAsuntos!I10/NºAsuntos!G10)-Datos!BE10)/Datos!BE10," - ")</f>
        <v>1.1818181818181821</v>
      </c>
      <c r="J10" s="521">
        <f>IF(ISNUMBER((('Resol  Asuntos'!D10/NºAsuntos!G10)-Datos!BF10)/Datos!BF10),(('Resol  Asuntos'!D10/NºAsuntos!G10)-Datos!BF10)/Datos!BF10," - ")</f>
        <v>3</v>
      </c>
      <c r="K10" s="522">
        <f>IF(ISNUMBER((((NºAsuntos!C10+NºAsuntos!E10)/NºAsuntos!G10)-Datos!BG10)/Datos!BG10),(((NºAsuntos!C10+NºAsuntos!E10)/NºAsuntos!G10)-Datos!BG10)/Datos!BG10," - ")</f>
        <v>0.76470588235294112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-2.1861777150916785E-2</v>
      </c>
      <c r="C12" s="515">
        <f>IF(ISNUMBER(
   IF(J_V="SI",(Datos!J12-Datos!T12)/Datos!T12,(Datos!J12+Datos!Z12-(Datos!T12+Datos!AH12))/(Datos!T12+Datos!AH12))
     ),IF(J_V="SI",(Datos!J12-Datos!T12)/Datos!T12,(Datos!J12+Datos!Z12-(Datos!T12+Datos!AH12))/(Datos!T12+Datos!AH12))," - ")</f>
        <v>-1.5681544028950542E-2</v>
      </c>
      <c r="D12" s="515">
        <f>IF(ISNUMBER(
   IF(J_V="SI",(Datos!K12-Datos!U12)/Datos!U12,(Datos!K12+Datos!AA12-(Datos!U12+Datos!AI12))/(Datos!U12+Datos!AI12))
     ),IF(J_V="SI",(Datos!K12-Datos!U12)/Datos!U12,(Datos!K12+Datos!AA12-(Datos!U12+Datos!AI12))/(Datos!U12+Datos!AI12))," - ")</f>
        <v>-0.15143929912390489</v>
      </c>
      <c r="E12" s="515">
        <f>IF(ISNUMBER(
   IF(J_V="SI",(Datos!L12-Datos!V12)/Datos!V12,(Datos!L12+Datos!AB12-(Datos!V12+Datos!AJ12))/(Datos!V12+Datos!AJ12))
     ),IF(J_V="SI",(Datos!L12-Datos!V12)/Datos!V12,(Datos!L12+Datos!AB12-(Datos!V12+Datos!AJ12))/(Datos!V12+Datos!AJ12))," - ")</f>
        <v>4.6961325966850827E-2</v>
      </c>
      <c r="F12" s="515">
        <f>IF(ISNUMBER((Datos!M12-Datos!W12)/Datos!W12),(Datos!M12-Datos!W12)/Datos!W12," - ")</f>
        <v>-0.40167364016736401</v>
      </c>
      <c r="G12" s="516">
        <f>IF(ISNUMBER((Datos!N12-Datos!X12)/Datos!X12),(Datos!N12-Datos!X12)/Datos!X12," - ")</f>
        <v>-0.11280487804878049</v>
      </c>
      <c r="H12" s="514">
        <f>IF(ISNUMBER(((NºAsuntos!G12/NºAsuntos!E12)-Datos!BD12)/Datos!BD12),((NºAsuntos!G12/NºAsuntos!E12)-Datos!BD12)/Datos!BD12," - ")</f>
        <v>-0.13792056246779055</v>
      </c>
      <c r="I12" s="515">
        <f>IF(ISNUMBER(((NºAsuntos!I12/NºAsuntos!G12)-Datos!BE12)/Datos!BE12),((NºAsuntos!I12/NºAsuntos!G12)-Datos!BE12)/Datos!BE12," - ")</f>
        <v>0.23380840626476976</v>
      </c>
      <c r="J12" s="521">
        <f>IF(ISNUMBER((('Resol  Asuntos'!D12/NºAsuntos!G12)-Datos!BF12)/Datos!BF12),(('Resol  Asuntos'!D12/NºAsuntos!G12)-Datos!BF12)/Datos!BF12," - ")</f>
        <v>-0.48621753363551334</v>
      </c>
      <c r="K12" s="522">
        <f>IF(ISNUMBER((((NºAsuntos!C12+NºAsuntos!E12)/NºAsuntos!G12)-Datos!BG12)/Datos!BG12),(((NºAsuntos!C12+NºAsuntos!E12)/NºAsuntos!G12)-Datos!BG12)/Datos!BG12," - ")</f>
        <v>0.15538974942663641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-1.3879250520471894E-2</v>
      </c>
      <c r="C14" s="1152">
        <f>IF(ISNUMBER(
   IF(J_V="SI",(Datos!J14-Datos!T14)/Datos!T14,(Datos!J14+Datos!Z14-(Datos!T14+Datos!AH14))/(Datos!T14+Datos!AH14))
     ),IF(J_V="SI",(Datos!J14-Datos!T14)/Datos!T14,(Datos!J14+Datos!Z14-(Datos!T14+Datos!AH14))/(Datos!T14+Datos!AH14))," - ")</f>
        <v>-1.5476190476190477E-2</v>
      </c>
      <c r="D14" s="1152">
        <f>IF(ISNUMBER(
   IF(J_V="SI",(Datos!K14-Datos!U14)/Datos!U14,(Datos!K14+Datos!AA14-(Datos!U14+Datos!AI14))/(Datos!U14+Datos!AI14))
     ),IF(J_V="SI",(Datos!K14-Datos!U14)/Datos!U14,(Datos!K14+Datos!AA14-(Datos!U14+Datos!AI14))/(Datos!U14+Datos!AI14))," - ")</f>
        <v>-0.15289765721331688</v>
      </c>
      <c r="E14" s="1152">
        <f>IF(ISNUMBER(
   IF(J_V="SI",(Datos!L14-Datos!V14)/Datos!V14,(Datos!L14+Datos!AB14-(Datos!V14+Datos!AJ14))/(Datos!V14+Datos!AJ14))
     ),IF(J_V="SI",(Datos!L14-Datos!V14)/Datos!V14,(Datos!L14+Datos!AB14-(Datos!V14+Datos!AJ14))/(Datos!V14+Datos!AJ14))," - ")</f>
        <v>5.5782312925170066E-2</v>
      </c>
      <c r="F14" s="1153">
        <f>IF(ISNUMBER((Datos!M14-Datos!W14)/Datos!W14),(Datos!M14-Datos!W14)/Datos!W14," - ")</f>
        <v>-0.39166666666666666</v>
      </c>
      <c r="G14" s="1154">
        <f>IF(ISNUMBER((Datos!N14-Datos!X14)/Datos!X14),(Datos!N14-Datos!X14)/Datos!X14," - ")</f>
        <v>-0.11818181818181818</v>
      </c>
      <c r="H14" s="1154">
        <f>IF(ISNUMBER(((NºAsuntos!G14/NºAsuntos!E14)-Datos!BD14)/Datos!BD14),((NºAsuntos!G14/NºAsuntos!E14)-Datos!BD14)/Datos!BD14," - ")</f>
        <v>-0.13958165908003164</v>
      </c>
      <c r="I14" s="1154">
        <f>IF(ISNUMBER(((NºAsuntos!I14/NºAsuntos!G14)-Datos!BE14)/Datos!BE14),((NºAsuntos!I14/NºAsuntos!G14)-Datos!BE14)/Datos!BE14," - ")</f>
        <v>0.24634564160453129</v>
      </c>
      <c r="J14" s="1154">
        <f>IF(ISNUMBER((('Resol  Asuntos'!D14/NºAsuntos!G14)-Datos!BF14)/Datos!BF14),(('Resol  Asuntos'!D14/NºAsuntos!G14)-Datos!BF14)/Datos!BF14," - ")</f>
        <v>-0.47613295992000815</v>
      </c>
      <c r="K14" s="1154">
        <f>IF(ISNUMBER((((NºAsuntos!C14+NºAsuntos!E14)/NºAsuntos!G14)-Datos!BG14)/Datos!BG14),(((NºAsuntos!C14+NºAsuntos!E14)/NºAsuntos!G14)-Datos!BG14)/Datos!BG14," - ")</f>
        <v>0.16341628553578788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-1.1320754716981131E-2</v>
      </c>
      <c r="C17" s="515">
        <f>IF(ISNUMBER(
   IF(D_I="SI",(Datos!J17-Datos!T17)/Datos!T17,(Datos!J17+Datos!AD17-(Datos!T17+Datos!AL17))/(Datos!T17+Datos!AL17))
     ),IF(D_I="SI",(Datos!J17-Datos!T17)/Datos!T17,(Datos!J17+Datos!AD17-(Datos!T17+Datos!AL17))/(Datos!T17+Datos!AL17))," - ")</f>
        <v>-7.1047957371225573E-2</v>
      </c>
      <c r="D17" s="515">
        <f>IF(ISNUMBER(
   IF(D_I="SI",(Datos!K17-Datos!U17)/Datos!U17,(Datos!K17+Datos!AE17-(Datos!U17+Datos!AM17))/(Datos!U17+Datos!AM17))
     ),IF(D_I="SI",(Datos!K17-Datos!U17)/Datos!U17,(Datos!K17+Datos!AE17-(Datos!U17+Datos!AM17))/(Datos!U17+Datos!AM17))," - ")</f>
        <v>0.11637080867850098</v>
      </c>
      <c r="E17" s="515">
        <f>IF(ISNUMBER(
   IF(D_I="SI",(Datos!L17-Datos!V17)/Datos!V17,(Datos!L17+Datos!AF17-(Datos!V17+Datos!AN17))/(Datos!V17+Datos!AN17))
     ),IF(D_I="SI",(Datos!L17-Datos!V17)/Datos!V17,(Datos!L17+Datos!AF17-(Datos!V17+Datos!AN17))/(Datos!V17+Datos!AN17))," - ")</f>
        <v>-8.3928571428571422E-2</v>
      </c>
      <c r="F17" s="515">
        <f>IF(ISNUMBER((Datos!M17-Datos!W17)/Datos!W17),(Datos!M17-Datos!W17)/Datos!W17," - ")</f>
        <v>-4.3165467625899283E-2</v>
      </c>
      <c r="G17" s="516">
        <f>IF(ISNUMBER((Datos!N17-Datos!X17)/Datos!X17),(Datos!N17-Datos!X17)/Datos!X17," - ")</f>
        <v>-1.5503875968992248E-2</v>
      </c>
      <c r="H17" s="514">
        <f>IF(ISNUMBER(((NºAsuntos!G17/NºAsuntos!E17)-Datos!BD17)/Datos!BD17),((NºAsuntos!G17/NºAsuntos!E17)-Datos!BD17)/Datos!BD17," - ")</f>
        <v>0.20175289729635951</v>
      </c>
      <c r="I17" s="515">
        <f>IF(ISNUMBER(((NºAsuntos!I17/NºAsuntos!G17)-Datos!BE17)/Datos!BE17),((NºAsuntos!I17/NºAsuntos!G17)-Datos!BE17)/Datos!BE17," - ")</f>
        <v>-0.17942011610297837</v>
      </c>
      <c r="J17" s="521">
        <f>IF(ISNUMBER((('Resol  Asuntos'!D17/NºAsuntos!G17)-Datos!BF17)/Datos!BF17),(('Resol  Asuntos'!D17/NºAsuntos!G17)-Datos!BF17)/Datos!BF17," - ")</f>
        <v>-0.14290616976383561</v>
      </c>
      <c r="K17" s="522">
        <f>IF(ISNUMBER((((NºAsuntos!C17+NºAsuntos!E17)/NºAsuntos!G17)-Datos!BG17)/Datos!BG17),(((NºAsuntos!C17+NºAsuntos!E17)/NºAsuntos!G17)-Datos!BG17)/Datos!BG17," - ")</f>
        <v>-0.13293991626552057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-0.125</v>
      </c>
      <c r="C18" s="515">
        <f>IF(ISNUMBER(
   IF(D_I="SI",(Datos!J18-Datos!T18)/Datos!T18,(Datos!J18+Datos!AD18-(Datos!T18+Datos!AL18))/(Datos!T18+Datos!AL18))
     ),IF(D_I="SI",(Datos!J18-Datos!T18)/Datos!T18,(Datos!J18+Datos!AD18-(Datos!T18+Datos!AL18))/(Datos!T18+Datos!AL18))," - ")</f>
        <v>3.6363636363636362E-2</v>
      </c>
      <c r="D18" s="515">
        <f>IF(ISNUMBER(
   IF(D_I="SI",(Datos!K18-Datos!U18)/Datos!U18,(Datos!K18+Datos!AE18-(Datos!U18+Datos!AM18))/(Datos!U18+Datos!AM18))
     ),IF(D_I="SI",(Datos!K18-Datos!U18)/Datos!U18,(Datos!K18+Datos!AE18-(Datos!U18+Datos!AM18))/(Datos!U18+Datos!AM18))," - ")</f>
        <v>-0.15942028985507245</v>
      </c>
      <c r="E18" s="515">
        <f>IF(ISNUMBER(
   IF(D_I="SI",(Datos!L18-Datos!V18)/Datos!V18,(Datos!L18+Datos!AF18-(Datos!V18+Datos!AN18))/(Datos!V18+Datos!AN18))
     ),IF(D_I="SI",(Datos!L18-Datos!V18)/Datos!V18,(Datos!L18+Datos!AF18-(Datos!V18+Datos!AN18))/(Datos!V18+Datos!AN18))," - ")</f>
        <v>5.7692307692307696E-2</v>
      </c>
      <c r="F18" s="515">
        <f>IF(ISNUMBER((Datos!M18-Datos!W18)/Datos!W18),(Datos!M18-Datos!W18)/Datos!W18," - ")</f>
        <v>-0.2857142857142857</v>
      </c>
      <c r="G18" s="516">
        <f>IF(ISNUMBER((Datos!N18-Datos!X18)/Datos!X18),(Datos!N18-Datos!X18)/Datos!X18," - ")</f>
        <v>8.5714285714285715E-2</v>
      </c>
      <c r="H18" s="514">
        <f>IF(ISNUMBER(((NºAsuntos!G18/NºAsuntos!E18)-Datos!BD18)/Datos!BD18),((NºAsuntos!G18/NºAsuntos!E18)-Datos!BD18)/Datos!BD18," - ")</f>
        <v>-0.18891431477243836</v>
      </c>
      <c r="I18" s="515">
        <f>IF(ISNUMBER(((NºAsuntos!I18/NºAsuntos!G18)-Datos!BE18)/Datos!BE18),((NºAsuntos!I18/NºAsuntos!G18)-Datos!BE18)/Datos!BE18," - ")</f>
        <v>0.25828912466843501</v>
      </c>
      <c r="J18" s="521">
        <f>IF(ISNUMBER((('Resol  Asuntos'!D18/NºAsuntos!G18)-Datos!BF18)/Datos!BF18),(('Resol  Asuntos'!D18/NºAsuntos!G18)-Datos!BF18)/Datos!BF18," - ")</f>
        <v>-0.15024630541871922</v>
      </c>
      <c r="K18" s="522">
        <f>IF(ISNUMBER((((NºAsuntos!C18+NºAsuntos!E18)/NºAsuntos!G18)-Datos!BG18)/Datos!BG18),(((NºAsuntos!C18+NºAsuntos!E18)/NºAsuntos!G18)-Datos!BG18)/Datos!BG18," - ")</f>
        <v>0.1296725586786438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-1.7793594306049824E-2</v>
      </c>
      <c r="C23" s="1152">
        <f>IF(ISNUMBER(
   IF(Criterios!B14="SI",(Datos!J23-Datos!T23)/Datos!T23,(Datos!J23+Datos!AD23-(Datos!T23+Datos!AL23))/(Datos!T23+Datos!AL23))
     ),IF(Criterios!B14="SI",(Datos!J23-Datos!T23)/Datos!T23,(Datos!J23+Datos!AD23-(Datos!T23+Datos!AL23))/(Datos!T23+Datos!AL23))," - ")</f>
        <v>-6.1488673139158574E-2</v>
      </c>
      <c r="D23" s="1152">
        <f>IF(ISNUMBER(
   IF(Criterios!B14="SI",(Datos!K23-Datos!U23)/Datos!U23,(Datos!K23+Datos!AE23-(Datos!U23+Datos!AM23))/(Datos!U23+Datos!AM23))
     ),IF(Criterios!B14="SI",(Datos!K23-Datos!U23)/Datos!U23,(Datos!K23+Datos!AE23-(Datos!U23+Datos!AM23))/(Datos!U23+Datos!AM23))," - ")</f>
        <v>8.3333333333333329E-2</v>
      </c>
      <c r="E23" s="1152">
        <f>IF(ISNUMBER(
   IF(Criterios!B14="SI",(Datos!L23-Datos!V23)/Datos!V23,(Datos!L23+Datos!AF23-(Datos!V23+Datos!AN23))/(Datos!V23+Datos!AN23))
     ),IF(Criterios!B14="SI",(Datos!L23-Datos!V23)/Datos!V23,(Datos!L23+Datos!AF23-(Datos!V23+Datos!AN23))/(Datos!V23+Datos!AN23))," - ")</f>
        <v>-7.7645051194539252E-2</v>
      </c>
      <c r="F23" s="1153">
        <f>IF(ISNUMBER((Datos!M23-Datos!W23)/Datos!W23),(Datos!M23-Datos!W23)/Datos!W23," - ")</f>
        <v>-5.4794520547945202E-2</v>
      </c>
      <c r="G23" s="1154">
        <f>IF(ISNUMBER((Datos!N23-Datos!X23)/Datos!X23),(Datos!N23-Datos!X23)/Datos!X23," - ")</f>
        <v>-3.4129692832764505E-3</v>
      </c>
      <c r="H23" s="1154">
        <f>IF(ISNUMBER(((NºAsuntos!G23/NºAsuntos!E23)-Datos!BD23)/Datos!BD23),((NºAsuntos!G23/NºAsuntos!E23)-Datos!BD23)/Datos!BD23," - ")</f>
        <v>0.1543103448275861</v>
      </c>
      <c r="I23" s="1154">
        <f>IF(ISNUMBER(((NºAsuntos!I23/NºAsuntos!G23)-Datos!BE23)/Datos!BE23),((NºAsuntos!I23/NºAsuntos!G23)-Datos!BE23)/Datos!BE23," - ")</f>
        <v>-0.1485954318718824</v>
      </c>
      <c r="J23" s="1154">
        <f>IF(ISNUMBER((('Resol  Asuntos'!D23/NºAsuntos!G23)-Datos!BF23)/Datos!BF23),(('Resol  Asuntos'!D23/NºAsuntos!G23)-Datos!BF23)/Datos!BF23," - ")</f>
        <v>-0.12750263435194942</v>
      </c>
      <c r="K23" s="1154">
        <f>IF(ISNUMBER((((NºAsuntos!C23+NºAsuntos!E23)/NºAsuntos!G23)-Datos!BG23)/Datos!BG23),(((NºAsuntos!C23+NºAsuntos!E23)/NºAsuntos!G23)-Datos!BG23)/Datos!BG23," - ")</f>
        <v>-0.10765698136536242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-1.5594541910331383E-2</v>
      </c>
      <c r="C31" s="1092">
        <f>IF(ISNUMBER(
   IF(J_V="SI",(Datos!J31-Datos!T31)/Datos!T31,(Datos!J31+Datos!Z31-(Datos!T31+Datos!AH31))/(Datos!T31+Datos!AH31))
     ),IF(J_V="SI",(Datos!J31-Datos!T31)/Datos!T31,(Datos!J31+Datos!Z31-(Datos!T31+Datos!AH31))/(Datos!T31+Datos!AH31))," - ")</f>
        <v>-3.4979423868312758E-2</v>
      </c>
      <c r="D31" s="1092">
        <f>IF(ISNUMBER(
   IF(J_V="SI",(Datos!K31-Datos!U31)/Datos!U31,(Datos!K31+Datos!AA31-(Datos!U31+Datos!AI31))/(Datos!U31+Datos!AI31))
     ),IF(J_V="SI",(Datos!K31-Datos!U31)/Datos!U31,(Datos!K31+Datos!AA31-(Datos!U31+Datos!AI31))/(Datos!U31+Datos!AI31))," - ")</f>
        <v>-5.4794520547945202E-2</v>
      </c>
      <c r="E31" s="1092">
        <f>IF(ISNUMBER(
   IF(J_V="SI",(Datos!L31-Datos!V31)/Datos!V31,(Datos!L31+Datos!AB31-(Datos!V31+Datos!AJ31))/(Datos!V31+Datos!AJ31))
     ),IF(J_V="SI",(Datos!L31-Datos!V31)/Datos!V31,(Datos!L31+Datos!AB31-(Datos!V31+Datos!AJ31))/(Datos!V31+Datos!AJ31))," - ")</f>
        <v>-3.4065102195306586E-3</v>
      </c>
      <c r="F31" s="1093">
        <f>IF(ISNUMBER((Datos!M31-Datos!W31)/Datos!W31),(Datos!M31-Datos!W31)/Datos!W31," - ")</f>
        <v>-0.26424870466321243</v>
      </c>
      <c r="G31" s="1094">
        <f>IF(ISNUMBER((Datos!N31-Datos!X31)/Datos!X31),(Datos!N31-Datos!X31)/Datos!X31," - ")</f>
        <v>-6.4205457463884424E-2</v>
      </c>
      <c r="H31" s="1095">
        <f>IF(ISNUMBER((Tasas!B31-Datos!BD31)/Datos!BD31),(Tasas!B31-Datos!BD31)/Datos!BD31," - ")</f>
        <v>-2.0533341122177799E-2</v>
      </c>
      <c r="I31" s="1096">
        <f>IF(ISNUMBER((Tasas!C31-Datos!BE31)/Datos!BE31),(Tasas!C31-Datos!BE31)/Datos!BE31," - ")</f>
        <v>5.4367025419916878E-2</v>
      </c>
      <c r="J31" s="1097">
        <f>IF(ISNUMBER((Tasas!D31-Datos!BF31)/Datos!BF31),(Tasas!D31-Datos!BF31)/Datos!BF31," - ")</f>
        <v>-0.36744469870327989</v>
      </c>
      <c r="K31" s="1097">
        <f>IF(ISNUMBER((Tasas!E31-Datos!BG31)/Datos!BG31),(Tasas!E31-Datos!BG31)/Datos!BG31," - ")</f>
        <v>3.4039778519887459E-2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ctOBkLpcsf8eY0Z+9T2lUVR5g2f67a6UjWrqi7hfq5CQbkwR5iEoGjJUC8imdSbBF0A2h+nskVoKcp6bgv2G+g==" saltValue="P6o41iI/rk4tBXUN5O1Ns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PAIS VASCO</v>
      </c>
    </row>
    <row r="3" spans="1:7" ht="19.5">
      <c r="A3" s="491" t="s">
        <v>17</v>
      </c>
      <c r="B3" s="439" t="str">
        <f>Criterios!A10 &amp;"  "&amp;Criterios!B10</f>
        <v>Provincias  BIZKAIA</v>
      </c>
    </row>
    <row r="4" spans="1:7" ht="11.25" customHeight="1" thickBot="1">
      <c r="B4" s="439" t="str">
        <f>Criterios!A11 &amp;"  "&amp;Criterios!B11</f>
        <v>Resumenes por Partidos Judiciales  DURANGO</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0.81818181818181823</v>
      </c>
      <c r="C10" s="498">
        <f>IF(ISNUMBER(NºAsuntos!I10/NºAsuntos!G10),NºAsuntos!I10/NºAsuntos!G10," - ")</f>
        <v>4</v>
      </c>
      <c r="D10" s="499">
        <f>IF(ISNUMBER('Resol  Asuntos'!D10/NºAsuntos!G10),'Resol  Asuntos'!D10/NºAsuntos!G10," - ")</f>
        <v>0.33333333333333331</v>
      </c>
      <c r="E10" s="500">
        <f>IF(ISNUMBER((NºAsuntos!C10+NºAsuntos!E10)/NºAsuntos!G10),(NºAsuntos!C10+NºAsuntos!E10)/NºAsuntos!G10," - ")</f>
        <v>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0.83088235294117652</v>
      </c>
      <c r="C12" s="498">
        <f>IF(ISNUMBER(NºAsuntos!I12/NºAsuntos!G12),NºAsuntos!I12/NºAsuntos!G12," - ")</f>
        <v>2.2359882005899707</v>
      </c>
      <c r="D12" s="499">
        <f>IF(ISNUMBER('Resol  Asuntos'!D12/NºAsuntos!G12),'Resol  Asuntos'!D12/NºAsuntos!G12," - ")</f>
        <v>0.21091445427728614</v>
      </c>
      <c r="E12" s="500">
        <f>IF(ISNUMBER((NºAsuntos!C12+NºAsuntos!E12)/NºAsuntos!G12),(NºAsuntos!C12+NºAsuntos!E12)/NºAsuntos!G12," - ")</f>
        <v>3.2492625368731565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0.83071342200725518</v>
      </c>
      <c r="C14" s="1156">
        <f>IF(ISNUMBER(NºAsuntos!I14/NºAsuntos!G14),NºAsuntos!I14/NºAsuntos!G14," - ")</f>
        <v>2.2590975254730714</v>
      </c>
      <c r="D14" s="1157">
        <f>IF(ISNUMBER('Resol  Asuntos'!D14/NºAsuntos!G14),'Resol  Asuntos'!D14/NºAsuntos!G14," - ")</f>
        <v>0.21251819505094613</v>
      </c>
      <c r="E14" s="1158">
        <f>IF(ISNUMBER((NºAsuntos!C14+NºAsuntos!E14)/NºAsuntos!G14),(NºAsuntos!C14+NºAsuntos!E14)/NºAsuntos!G14," - ")</f>
        <v>3.2721979621542938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1.0822179732313575</v>
      </c>
      <c r="C17" s="498">
        <f>IF(ISNUMBER(NºAsuntos!I17/NºAsuntos!G17),NºAsuntos!I17/NºAsuntos!G17," - ")</f>
        <v>1.8127208480565371</v>
      </c>
      <c r="D17" s="499">
        <f>IF(ISNUMBER('Resol  Asuntos'!D17/NºAsuntos!G17),'Resol  Asuntos'!D17/NºAsuntos!G17," - ")</f>
        <v>0.23498233215547704</v>
      </c>
      <c r="E17" s="500">
        <f>IF(ISNUMBER((NºAsuntos!C17+NºAsuntos!E17)/NºAsuntos!G17),(NºAsuntos!C17+NºAsuntos!E17)/NºAsuntos!G17," - ")</f>
        <v>2.7756183745583041</v>
      </c>
      <c r="G17" s="523"/>
    </row>
    <row r="18" spans="1:7">
      <c r="A18" s="450" t="str">
        <f>Datos!A18</f>
        <v>Jdos. Violencia contra la mujer</v>
      </c>
      <c r="B18" s="497">
        <f>IF(ISNUMBER(NºAsuntos!G18/NºAsuntos!E18),NºAsuntos!G18/NºAsuntos!E18," - ")</f>
        <v>1.0175438596491229</v>
      </c>
      <c r="C18" s="498">
        <f>IF(ISNUMBER(NºAsuntos!I18/NºAsuntos!G18),NºAsuntos!I18/NºAsuntos!G18," - ")</f>
        <v>0.94827586206896552</v>
      </c>
      <c r="D18" s="499">
        <f>IF(ISNUMBER('Resol  Asuntos'!D18/NºAsuntos!G18),'Resol  Asuntos'!D18/NºAsuntos!G18," - ")</f>
        <v>8.6206896551724144E-2</v>
      </c>
      <c r="E18" s="500">
        <f>IF(ISNUMBER((NºAsuntos!C18+NºAsuntos!E18)/NºAsuntos!G18),(NºAsuntos!C18+NºAsuntos!E18)/NºAsuntos!G18," - ")</f>
        <v>1.9482758620689655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1.0758620689655172</v>
      </c>
      <c r="C23" s="1156">
        <f>IF(ISNUMBER(NºAsuntos!I23/NºAsuntos!G23),NºAsuntos!I23/NºAsuntos!G23," - ")</f>
        <v>1.7323717948717949</v>
      </c>
      <c r="D23" s="1159">
        <f>IF(ISNUMBER('Resol  Asuntos'!D23/NºAsuntos!G23),'Resol  Asuntos'!D23/NºAsuntos!G23," - ")</f>
        <v>0.22115384615384615</v>
      </c>
      <c r="E23" s="1158">
        <f>IF(ISNUMBER((NºAsuntos!C23+NºAsuntos!E23)/NºAsuntos!G23),(NºAsuntos!C23+NºAsuntos!E23)/NºAsuntos!G23," - ")</f>
        <v>2.6987179487179489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0.93176972281449888</v>
      </c>
      <c r="C31" s="1099">
        <f>IF(ISNUMBER(NºAsuntos!I31/NºAsuntos!G31),NºAsuntos!I31/NºAsuntos!G31," - ")</f>
        <v>2.0083905415713197</v>
      </c>
      <c r="D31" s="1100">
        <f>IF(ISNUMBER('Resol  Asuntos'!D31/NºAsuntos!G31),'Resol  Asuntos'!D31/NºAsuntos!G31," - ")</f>
        <v>0.21662852784134248</v>
      </c>
      <c r="E31" s="1101">
        <f>IF(ISNUMBER((NºAsuntos!C31+NºAsuntos!E31)/NºAsuntos!G31),(NºAsuntos!C31+NºAsuntos!E31)/NºAsuntos!G31," - ")</f>
        <v>2.9992372234935165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y1OhxsqMcPkzxVM0oi355vv5JbsOehg5gfuJ/6h+pl8rxwKflTUKx7mXJlfFvHdWYa1fz53kuP9yGJbQKQJeg==" saltValue="RV9ajhg6L9950XuDOqBD+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PAIS VASCO</v>
      </c>
      <c r="G2" s="369"/>
      <c r="H2" s="368"/>
      <c r="I2" s="368"/>
      <c r="J2" s="368"/>
      <c r="K2" s="368"/>
      <c r="L2" s="368" t="str">
        <f>Criterios!A10 &amp;"  "&amp;Criterios!B10</f>
        <v>Provincias  BIZKAIA</v>
      </c>
      <c r="N2" s="368" t="str">
        <f>Criterios!A11 &amp;"  "&amp;Criterios!B11</f>
        <v>Resumenes por Partidos Judiciales  DURANGO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34</v>
      </c>
      <c r="G10" s="373">
        <f>IF(ISNUMBER(Datos!I10),Datos!I10," - ")</f>
        <v>34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9</v>
      </c>
      <c r="X10" s="240">
        <f>IF(ISNUMBER(Datos!Q10),Datos!Q10," - ")</f>
        <v>1</v>
      </c>
      <c r="Y10" s="374">
        <f t="shared" ref="Y10:Y13" si="0">SUM(W10:X10)</f>
        <v>10</v>
      </c>
      <c r="Z10" s="375" t="str">
        <f>IF(ISNUMBER(Datos!CC10),Datos!CC10," - ")</f>
        <v xml:space="preserve"> - </v>
      </c>
      <c r="AA10" s="372">
        <f>IF(ISNUMBER(Datos!L10),Datos!L10,"-")</f>
        <v>36</v>
      </c>
      <c r="AB10" s="374">
        <f>IF(ISNUMBER(Datos!R10),Datos!R10," - ")</f>
        <v>42</v>
      </c>
      <c r="AC10" s="374">
        <f t="shared" ref="AC10:AC13" si="1">IF(ISNUMBER(AA10+AB10),AA10+AB10," - ")</f>
        <v>78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0.81818181818181823</v>
      </c>
      <c r="AM10" s="284">
        <f>IF(ISNUMBER(((NºAsuntos!I10/NºAsuntos!G10)*11)/factor_trimestre),((NºAsuntos!I10/NºAsuntos!G10)*11)/factor_trimestre," - ")</f>
        <v>12</v>
      </c>
      <c r="AN10" s="267">
        <f>IF(ISNUMBER('Resol  Asuntos'!D10/NºAsuntos!G10),'Resol  Asuntos'!D10/NºAsuntos!G10," - ")</f>
        <v>0.33333333333333331</v>
      </c>
      <c r="AO10" s="268">
        <f>IF(ISNUMBER((NºAsuntos!C10+NºAsuntos!E10)/NºAsuntos!G10),(NºAsuntos!C10+NºAsuntos!E10)/NºAsuntos!G10," - ")</f>
        <v>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188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306</v>
      </c>
      <c r="Y12" s="374">
        <f t="shared" si="0"/>
        <v>306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2812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143</v>
      </c>
      <c r="AJ12" s="243" t="str">
        <f>IF(ISNUMBER(Datos!BW12),Datos!BW12," - ")</f>
        <v xml:space="preserve"> - </v>
      </c>
      <c r="AK12" s="242" t="str">
        <f>IF(ISNUMBER(Datos!BX12),Datos!BX12," - ")</f>
        <v xml:space="preserve"> - </v>
      </c>
      <c r="AL12" s="266">
        <f>IF(ISNUMBER(NºAsuntos!G12/NºAsuntos!E12),NºAsuntos!G12/NºAsuntos!E12," - ")</f>
        <v>0.83088235294117652</v>
      </c>
      <c r="AM12" s="284">
        <f>IF(ISNUMBER(((NºAsuntos!I12/NºAsuntos!G12)*11)/factor_trimestre),((NºAsuntos!I12/NºAsuntos!G12)*11)/factor_trimestre," - ")</f>
        <v>6.7079646017699126</v>
      </c>
      <c r="AN12" s="267">
        <f>IF(ISNUMBER('Resol  Asuntos'!D12/NºAsuntos!G12),'Resol  Asuntos'!D12/NºAsuntos!G12," - ")</f>
        <v>0.21091445427728614</v>
      </c>
      <c r="AO12" s="268">
        <f>IF(ISNUMBER((NºAsuntos!C12+NºAsuntos!E12)/NºAsuntos!G12),(NºAsuntos!C12+NºAsuntos!E12)/NºAsuntos!G12," - ")</f>
        <v>3.2492625368731565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34</v>
      </c>
      <c r="G14" s="1163">
        <f t="shared" si="5"/>
        <v>34</v>
      </c>
      <c r="H14" s="1162">
        <f t="shared" si="5"/>
        <v>0</v>
      </c>
      <c r="I14" s="1164">
        <f t="shared" si="5"/>
        <v>0</v>
      </c>
      <c r="J14" s="1164">
        <f t="shared" si="5"/>
        <v>0</v>
      </c>
      <c r="K14" s="1164">
        <f t="shared" si="5"/>
        <v>0</v>
      </c>
      <c r="L14" s="1164">
        <f t="shared" si="5"/>
        <v>190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9</v>
      </c>
      <c r="X14" s="1164">
        <f t="shared" si="6"/>
        <v>307</v>
      </c>
      <c r="Y14" s="1165">
        <f t="shared" si="6"/>
        <v>316</v>
      </c>
      <c r="Z14" s="1165">
        <f t="shared" si="6"/>
        <v>0</v>
      </c>
      <c r="AA14" s="1165">
        <f t="shared" si="6"/>
        <v>36</v>
      </c>
      <c r="AB14" s="1165">
        <f t="shared" si="6"/>
        <v>2854</v>
      </c>
      <c r="AC14" s="1165">
        <f t="shared" si="6"/>
        <v>78</v>
      </c>
      <c r="AD14" s="1165">
        <f t="shared" si="6"/>
        <v>0</v>
      </c>
      <c r="AE14" s="1169">
        <f t="shared" si="6"/>
        <v>0</v>
      </c>
      <c r="AF14" s="1162">
        <f t="shared" si="6"/>
        <v>0</v>
      </c>
      <c r="AG14" s="1170">
        <f t="shared" si="6"/>
        <v>0</v>
      </c>
      <c r="AH14" s="1167">
        <f t="shared" si="6"/>
        <v>0</v>
      </c>
      <c r="AI14" s="1162">
        <f t="shared" si="6"/>
        <v>146</v>
      </c>
      <c r="AJ14" s="1164">
        <f t="shared" si="6"/>
        <v>0</v>
      </c>
      <c r="AK14" s="1167">
        <f>SUBTOTAL(9,AK9:AK13)</f>
        <v>0</v>
      </c>
      <c r="AL14" s="1171">
        <f>IF(ISNUMBER(NºAsuntos!G14/NºAsuntos!E14),NºAsuntos!G14/NºAsuntos!E14," - ")</f>
        <v>0.83071342200725518</v>
      </c>
      <c r="AM14" s="1171">
        <f>IF(ISNUMBER(((NºAsuntos!I14/NºAsuntos!G14)*11)/factor_trimestre),((NºAsuntos!I14/NºAsuntos!G14)*11)/factor_trimestre," - ")</f>
        <v>6.7772925764192147</v>
      </c>
      <c r="AN14" s="1172">
        <f>IF(ISNUMBER('Resol  Asuntos'!D14/NºAsuntos!G14),'Resol  Asuntos'!D14/NºAsuntos!G14," - ")</f>
        <v>0.21251819505094613</v>
      </c>
      <c r="AO14" s="1173">
        <f>IF(ISNUMBER((NºAsuntos!C14+NºAsuntos!E14)/NºAsuntos!G14),(NºAsuntos!C14+NºAsuntos!E14)/NºAsuntos!G14," - ")</f>
        <v>3.2721979621542938</v>
      </c>
      <c r="AP14" s="1174" t="str">
        <f t="shared" si="2"/>
        <v xml:space="preserve"> - </v>
      </c>
      <c r="AQ14" s="1174">
        <f>IF(ISNUMBER((H14-W14+K14)/(F14)),(H14-W14+K14)/(F14)," - ")</f>
        <v>-0.26470588235294118</v>
      </c>
      <c r="AR14" s="1175">
        <f>IF(ISNUMBER((Datos!P14-Datos!Q14)/(Datos!R14-Datos!P14+Datos!Q14)),(Datos!P14-Datos!Q14)/(Datos!R14-Datos!P14+Datos!Q14)," - ")</f>
        <v>-3.9380679905755639E-2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1069</v>
      </c>
      <c r="G17" s="373">
        <f>IF(ISNUMBER(IF(D_I="SI",Datos!I17,Datos!I17+Datos!AC17)),IF(D_I="SI",Datos!I17,Datos!I17+Datos!AC17)," - ")</f>
        <v>1048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566</v>
      </c>
      <c r="X17" s="240">
        <f>IF(ISNUMBER(Datos!Q17),Datos!Q17," - ")</f>
        <v>35</v>
      </c>
      <c r="Y17" s="374">
        <f t="shared" ref="Y17:Y22" si="9">SUM(W17:X17)</f>
        <v>601</v>
      </c>
      <c r="Z17" s="375" t="str">
        <f>IF(ISNUMBER(Datos!CC17),Datos!CC17," - ")</f>
        <v xml:space="preserve"> - </v>
      </c>
      <c r="AA17" s="372">
        <f>IF(ISNUMBER(IF(D_I="SI",Datos!L17,Datos!L17+Datos!AF17)),IF(D_I="SI",Datos!L17,Datos!L17+Datos!AF17)," - ")</f>
        <v>1026</v>
      </c>
      <c r="AB17" s="374">
        <f>IF(ISNUMBER(Datos!R17),Datos!R17," - ")</f>
        <v>187</v>
      </c>
      <c r="AC17" s="374">
        <f t="shared" si="8"/>
        <v>1213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133</v>
      </c>
      <c r="AJ17" s="245" t="str">
        <f>IF(ISNUMBER(Datos!BW17),Datos!BW17," - ")</f>
        <v xml:space="preserve"> - </v>
      </c>
      <c r="AK17" s="246" t="str">
        <f>IF(ISNUMBER(Datos!BX17),Datos!BX17," - ")</f>
        <v xml:space="preserve"> - </v>
      </c>
      <c r="AL17" s="266">
        <f>IF(ISNUMBER(NºAsuntos!G17/NºAsuntos!E17),NºAsuntos!G17/NºAsuntos!E17," - ")</f>
        <v>1.0822179732313575</v>
      </c>
      <c r="AM17" s="284">
        <f>IF(ISNUMBER(((NºAsuntos!I17/NºAsuntos!G17)*11)/factor_trimestre),((NºAsuntos!I17/NºAsuntos!G17)*11)/factor_trimestre," - ")</f>
        <v>5.4381625441696118</v>
      </c>
      <c r="AN17" s="267">
        <f>IF(ISNUMBER('Resol  Asuntos'!D17/NºAsuntos!G17),'Resol  Asuntos'!D17/NºAsuntos!G17," - ")</f>
        <v>0.23498233215547704</v>
      </c>
      <c r="AO17" s="268">
        <f>IF(ISNUMBER((NºAsuntos!C17+NºAsuntos!E17)/NºAsuntos!G17),(NºAsuntos!C17+NºAsuntos!E17)/NºAsuntos!G17," - ")</f>
        <v>2.7756183745583041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58</v>
      </c>
      <c r="X18" s="240">
        <f>IF(ISNUMBER(Datos!Q18),Datos!Q18," - ")</f>
        <v>2</v>
      </c>
      <c r="Y18" s="374">
        <f t="shared" si="9"/>
        <v>60</v>
      </c>
      <c r="Z18" s="375" t="str">
        <f>IF(ISNUMBER(Datos!CC18),Datos!CC18," - ")</f>
        <v xml:space="preserve"> - </v>
      </c>
      <c r="AA18" s="372">
        <f>IF(ISNUMBER(Datos!L18),Datos!L18,"-")</f>
        <v>55</v>
      </c>
      <c r="AB18" s="374">
        <f>IF(ISNUMBER(Datos!R18),Datos!R18," - ")</f>
        <v>0</v>
      </c>
      <c r="AC18" s="374">
        <f t="shared" si="8"/>
        <v>55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1.0175438596491229</v>
      </c>
      <c r="AM18" s="284">
        <f>IF(ISNUMBER(((NºAsuntos!I18/NºAsuntos!G18)*11)/factor_trimestre),((NºAsuntos!I18/NºAsuntos!G18)*11)/factor_trimestre," - ")</f>
        <v>2.8448275862068968</v>
      </c>
      <c r="AN18" s="267">
        <f>IF(ISNUMBER('Resol  Asuntos'!D18/NºAsuntos!G18),'Resol  Asuntos'!D18/NºAsuntos!G18," - ")</f>
        <v>8.6206896551724144E-2</v>
      </c>
      <c r="AO18" s="268">
        <f>IF(ISNUMBER((NºAsuntos!C18+NºAsuntos!E18)/NºAsuntos!G18),(NºAsuntos!C18+NºAsuntos!E18)/NºAsuntos!G18," - ")</f>
        <v>1.9482758620689655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1069</v>
      </c>
      <c r="G23" s="1163">
        <f>SUBTOTAL(9,G16:G22)</f>
        <v>1104</v>
      </c>
      <c r="H23" s="1162">
        <f t="shared" ref="H23:O23" si="13">SUBTOTAL(9,H15:H22)</f>
        <v>0</v>
      </c>
      <c r="I23" s="1164">
        <f t="shared" si="13"/>
        <v>0</v>
      </c>
      <c r="J23" s="1164">
        <f t="shared" si="13"/>
        <v>0</v>
      </c>
      <c r="K23" s="1164">
        <f t="shared" si="13"/>
        <v>0</v>
      </c>
      <c r="L23" s="1164">
        <f t="shared" si="13"/>
        <v>65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624</v>
      </c>
      <c r="X23" s="1164">
        <f t="shared" si="14"/>
        <v>37</v>
      </c>
      <c r="Y23" s="1165">
        <f t="shared" si="14"/>
        <v>661</v>
      </c>
      <c r="Z23" s="1165">
        <f t="shared" si="14"/>
        <v>0</v>
      </c>
      <c r="AA23" s="1165">
        <f t="shared" si="14"/>
        <v>1081</v>
      </c>
      <c r="AB23" s="1165">
        <f t="shared" si="14"/>
        <v>187</v>
      </c>
      <c r="AC23" s="1165">
        <f t="shared" si="14"/>
        <v>1268</v>
      </c>
      <c r="AD23" s="1165">
        <f t="shared" si="14"/>
        <v>0</v>
      </c>
      <c r="AE23" s="1169">
        <f t="shared" si="14"/>
        <v>0</v>
      </c>
      <c r="AF23" s="1162">
        <f t="shared" si="14"/>
        <v>0</v>
      </c>
      <c r="AG23" s="1170">
        <f t="shared" si="14"/>
        <v>0</v>
      </c>
      <c r="AH23" s="1167">
        <f t="shared" si="14"/>
        <v>0</v>
      </c>
      <c r="AI23" s="1162">
        <f t="shared" si="14"/>
        <v>138</v>
      </c>
      <c r="AJ23" s="1164">
        <f t="shared" si="14"/>
        <v>0</v>
      </c>
      <c r="AK23" s="1167">
        <f t="shared" si="14"/>
        <v>0</v>
      </c>
      <c r="AL23" s="1171">
        <f>IF(ISNUMBER(NºAsuntos!G23/NºAsuntos!E23),NºAsuntos!G23/NºAsuntos!E23," - ")</f>
        <v>1.0758620689655172</v>
      </c>
      <c r="AM23" s="1171">
        <f>IF(ISNUMBER(((NºAsuntos!I23/NºAsuntos!G23)*11)/factor_trimestre),((NºAsuntos!I23/NºAsuntos!G23)*11)/factor_trimestre," - ")</f>
        <v>5.197115384615385</v>
      </c>
      <c r="AN23" s="1172">
        <f>IF(ISNUMBER('Resol  Asuntos'!D23/NºAsuntos!G23),'Resol  Asuntos'!D23/NºAsuntos!G23," - ")</f>
        <v>0.22115384615384615</v>
      </c>
      <c r="AO23" s="1173">
        <f>IF(ISNUMBER((NºAsuntos!C23+NºAsuntos!E23)/NºAsuntos!G23),(NºAsuntos!C23+NºAsuntos!E23)/NºAsuntos!G23," - ")</f>
        <v>2.6987179487179489</v>
      </c>
      <c r="AP23" s="1174" t="str">
        <f t="shared" si="2"/>
        <v xml:space="preserve"> - </v>
      </c>
      <c r="AQ23" s="1174">
        <f>IF(ISNUMBER((H23-W23+K23)/(F23)),(H23-W23+K23)/(F23)," - ")</f>
        <v>-0.58372310570626751</v>
      </c>
      <c r="AR23" s="1175">
        <f>IF(ISNUMBER((Datos!P23-Datos!Q23)/(Datos!R23-Datos!P23+Datos!Q23)),(Datos!P23-Datos!Q23)/(Datos!R23-Datos!P23+Datos!Q23)," - ")</f>
        <v>0.1761006289308176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1103</v>
      </c>
      <c r="G31" s="1118">
        <f t="shared" si="20"/>
        <v>1138</v>
      </c>
      <c r="H31" s="1117">
        <f t="shared" si="20"/>
        <v>0</v>
      </c>
      <c r="I31" s="1119">
        <f t="shared" si="20"/>
        <v>0</v>
      </c>
      <c r="J31" s="1119">
        <f t="shared" si="20"/>
        <v>0</v>
      </c>
      <c r="K31" s="1180">
        <f t="shared" si="20"/>
        <v>0</v>
      </c>
      <c r="L31" s="1119">
        <f t="shared" si="20"/>
        <v>255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633</v>
      </c>
      <c r="X31" s="1118">
        <f t="shared" si="21"/>
        <v>344</v>
      </c>
      <c r="Y31" s="1125">
        <f t="shared" si="21"/>
        <v>977</v>
      </c>
      <c r="Z31" s="1125">
        <f t="shared" si="21"/>
        <v>0</v>
      </c>
      <c r="AA31" s="1125">
        <f t="shared" si="21"/>
        <v>1117</v>
      </c>
      <c r="AB31" s="1125">
        <f t="shared" si="21"/>
        <v>3041</v>
      </c>
      <c r="AC31" s="1125">
        <f t="shared" si="21"/>
        <v>1346</v>
      </c>
      <c r="AD31" s="1125">
        <f t="shared" si="21"/>
        <v>0</v>
      </c>
      <c r="AE31" s="1127">
        <f t="shared" si="21"/>
        <v>0</v>
      </c>
      <c r="AF31" s="1128">
        <f t="shared" si="21"/>
        <v>0</v>
      </c>
      <c r="AG31" s="1129">
        <f t="shared" si="21"/>
        <v>0</v>
      </c>
      <c r="AH31" s="1127">
        <f t="shared" si="21"/>
        <v>0</v>
      </c>
      <c r="AI31" s="1117">
        <f t="shared" si="21"/>
        <v>284</v>
      </c>
      <c r="AJ31" s="1117">
        <f t="shared" si="21"/>
        <v>0</v>
      </c>
      <c r="AK31" s="1127">
        <f t="shared" si="21"/>
        <v>0</v>
      </c>
      <c r="AL31" s="1183">
        <f>IF(ISNUMBER(NºAsuntos!G31/NºAsuntos!E31),NºAsuntos!G31/NºAsuntos!E31," - ")</f>
        <v>0.93176972281449888</v>
      </c>
      <c r="AM31" s="1184">
        <f>IF(ISNUMBER(((NºAsuntos!I31/NºAsuntos!G31)*11)/factor_trimestre),((NºAsuntos!I31/NºAsuntos!G31)*11)/factor_trimestre," - ")</f>
        <v>6.0251716247139591</v>
      </c>
      <c r="AN31" s="1184">
        <f>IF(ISNUMBER('Resol  Asuntos'!D31/NºAsuntos!G31),'Resol  Asuntos'!D31/NºAsuntos!G31," - ")</f>
        <v>0.21662852784134248</v>
      </c>
      <c r="AO31" s="1185">
        <f>IF(ISNUMBER((NºAsuntos!C31+NºAsuntos!E31)/NºAsuntos!G31),(NºAsuntos!C31+NºAsuntos!E31)/NºAsuntos!G31," - ")</f>
        <v>2.9992372234935165</v>
      </c>
      <c r="AP31" s="1186" t="str">
        <f t="shared" si="2"/>
        <v xml:space="preserve"> - </v>
      </c>
      <c r="AQ31" s="1187">
        <f>IF(OR(ISNUMBER(FIND("01",Criterios!A8,1)),ISNUMBER(FIND("02",Criterios!A8,1)),ISNUMBER(FIND("03",Criterios!A8,1)),ISNUMBER(FIND("04",Criterios!A8,1))),(I31-W31+K31)/(F31-K31),(H31-W31+K31)/(F31-K31))</f>
        <v>-0.57388939256572979</v>
      </c>
      <c r="AR31" s="1188">
        <f>IF(ISNUMBER((Datos!P31-Datos!Q31)/(Datos!R31-Datos!P31+Datos!Q31)),(Datos!P31-Datos!Q31)/(Datos!R31-Datos!P31+Datos!Q31)," - ")</f>
        <v>-2.8434504792332269E-2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325.14285714285717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543.46321555986356</v>
      </c>
      <c r="G33" s="277">
        <f>IF(ISNUMBER(STDEV(G8:G30)),STDEV(G8:G30),"-")</f>
        <v>513.5729187341783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284.10469230633311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73.876344561126501</v>
      </c>
      <c r="AJ33" s="276">
        <f t="shared" si="25"/>
        <v>0</v>
      </c>
      <c r="AK33" s="278">
        <f t="shared" si="25"/>
        <v>0</v>
      </c>
      <c r="AL33" s="273">
        <f t="shared" si="25"/>
        <v>0.12911069357118513</v>
      </c>
      <c r="AM33" s="274">
        <f t="shared" si="25"/>
        <v>3.0514007593077719</v>
      </c>
      <c r="AN33" s="274">
        <f t="shared" si="25"/>
        <v>7.8786580810827803E-2</v>
      </c>
      <c r="AO33" s="275">
        <f t="shared" si="25"/>
        <v>1.0232223272153818</v>
      </c>
      <c r="AP33" s="317" t="str">
        <f t="shared" si="25"/>
        <v>-</v>
      </c>
      <c r="AQ33" s="318">
        <f t="shared" si="25"/>
        <v>0.22557924194844059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mERqsm/IelYvjWbyYA+oqtMkvA+ndtkuPXOPsXJBpaxUljH5w3C2FtvsKbwdLYR5EuQo/CxdEA2xeuIjgkP9+g==" saltValue="aepSczCOOZKOfTq33LMv+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PAIS VASCO</v>
      </c>
      <c r="E2" s="287"/>
    </row>
    <row r="3" spans="2:20" ht="17.25" customHeight="1">
      <c r="C3" s="291"/>
      <c r="D3" s="286" t="str">
        <f>Criterios!A10 &amp;"  "&amp;Criterios!B10</f>
        <v>Provincias  BIZKAIA</v>
      </c>
      <c r="E3" s="287"/>
    </row>
    <row r="4" spans="2:20" ht="17.25" customHeight="1" thickBot="1">
      <c r="D4" s="286" t="str">
        <f>Criterios!A11 &amp;"  "&amp;Criterios!B11</f>
        <v>Resumenes por Partidos Judiciales  DURANGO</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0.47826086956521741</v>
      </c>
      <c r="E10" s="393">
        <f>IF(ISNUMBER((Datos!J10-Datos!T10)/Datos!T10),(Datos!J10-Datos!T10)/Datos!T10," - ")</f>
        <v>0</v>
      </c>
      <c r="F10" s="393">
        <f>IF(ISNUMBER((Datos!K10-Datos!U10)/Datos!U10),(Datos!K10-Datos!U10)/Datos!U10," - ")</f>
        <v>-0.25</v>
      </c>
      <c r="G10" s="394">
        <f>IF(ISNUMBER((Datos!L10-Datos!V10)/Datos!V10),(Datos!L10-Datos!V10)/Datos!V10," - ")</f>
        <v>0.63636363636363635</v>
      </c>
      <c r="H10" s="244">
        <f>IF(ISNUMBER((Datos!M10-Datos!W10)/Datos!W10),(Datos!M10-Datos!W10)/Datos!W10," - ")</f>
        <v>2</v>
      </c>
      <c r="I10" s="395">
        <f>IF(ISNUMBER((Tasas!C10-Datos!BE10)/Datos!BE10),(Tasas!C10-Datos!BE10)/Datos!BE10," - ")</f>
        <v>1.1818181818181821</v>
      </c>
      <c r="J10" s="394">
        <f>IF(ISNUMBER((Tasas!D10-Datos!BF10)/Datos!BF10),(Tasas!D10-Datos!BF10)/Datos!BF10," - ")</f>
        <v>3</v>
      </c>
      <c r="K10" s="396">
        <f>IF(ISNUMBER((Tasas!E10-Datos!BG10)/Datos!BG10),(Tasas!E10-Datos!BG10)/Datos!BG10," - ")</f>
        <v>0.76470588235294112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-0.40167364016736401</v>
      </c>
      <c r="I12" s="395">
        <f>IF(ISNUMBER((Tasas!C12-Datos!BE12)/Datos!BE12),(Tasas!C12-Datos!BE12)/Datos!BE12," - ")</f>
        <v>0.23380840626476976</v>
      </c>
      <c r="J12" s="394">
        <f>IF(ISNUMBER((Tasas!D12-Datos!BF12)/Datos!BF12),(Tasas!D12-Datos!BF12)/Datos!BF12," - ")</f>
        <v>-0.48621753363551334</v>
      </c>
      <c r="K12" s="396">
        <f>IF(ISNUMBER((Tasas!E12-Datos!BG12)/Datos!BG12),(Tasas!E12-Datos!BG12)/Datos!BG12," - ")</f>
        <v>0.15538974942663641</v>
      </c>
      <c r="M12" t="e">
        <f>IF(Monitorios="SI",Datos!CE12,0)</f>
        <v>#REF!</v>
      </c>
      <c r="N12" t="e">
        <f>IF(Monitorios="SI",Datos!CF12,0)</f>
        <v>#REF!</v>
      </c>
      <c r="O12" t="e">
        <f>IF(Monitorios="SI",Datos!CG12,0)</f>
        <v>#REF!</v>
      </c>
      <c r="P12" t="e">
        <f>IF(Monitorios="SI",Datos!CH12,0)</f>
        <v>#REF!</v>
      </c>
      <c r="Q12">
        <f>IF(J_V="SI",0,Datos!AG12)</f>
        <v>136</v>
      </c>
      <c r="R12">
        <f>IF(J_V="SI",0,Datos!AH12)</f>
        <v>99</v>
      </c>
      <c r="S12">
        <f>IF(J_V="SI",0,Datos!AI12)</f>
        <v>103</v>
      </c>
      <c r="T12">
        <f>IF(J_V="SI",0,Datos!AJ12)</f>
        <v>132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-0.39166666666666666</v>
      </c>
      <c r="I14" s="402">
        <f>IF(ISNUMBER((Tasas!C14-Datos!BE14)/Datos!BE14),(Tasas!C14-Datos!BE14)/Datos!BE14," - ")</f>
        <v>0.24634564160453129</v>
      </c>
      <c r="J14" s="400">
        <f>IF(ISNUMBER((Tasas!D14-Datos!BF14)/Datos!BF14),(Tasas!D14-Datos!BF14)/Datos!BF14," - ")</f>
        <v>-0.47613295992000815</v>
      </c>
      <c r="K14" s="403">
        <f>IF(ISNUMBER((Tasas!E14-Datos!BG14)/Datos!BG14),(Tasas!E14-Datos!BG14)/Datos!BG14," - ")</f>
        <v>0.16341628553578788</v>
      </c>
      <c r="M14" t="e">
        <f>IF(Monitorios="SI",Datos!CE14,0)</f>
        <v>#REF!</v>
      </c>
      <c r="N14" t="e">
        <f>IF(Monitorios="SI",Datos!CF14,0)</f>
        <v>#REF!</v>
      </c>
      <c r="O14" t="e">
        <f>IF(Monitorios="SI",Datos!CG14,0)</f>
        <v>#REF!</v>
      </c>
      <c r="P14" t="e">
        <f>IF(Monitorios="SI",Datos!CH14,0)</f>
        <v>#REF!</v>
      </c>
      <c r="Q14">
        <f>IF(J_V="SI",0,Datos!AG14)</f>
        <v>136</v>
      </c>
      <c r="R14">
        <f>IF(J_V="SI",0,Datos!AH14)</f>
        <v>99</v>
      </c>
      <c r="S14">
        <f>IF(J_V="SI",0,Datos!AI14)</f>
        <v>103</v>
      </c>
      <c r="T14">
        <f>IF(J_V="SI",0,Datos!AJ14)</f>
        <v>132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-1.1320754716981131E-2</v>
      </c>
      <c r="E17" s="393">
        <f>IF(ISNUMBER(
   IF(D_I="SI",(Datos!J17-Datos!T17)/Datos!T17,(Datos!J17+Datos!AD17-(Datos!T17+Datos!AL17))/(Datos!T17+Datos!AL17))
     ),IF(D_I="SI",(Datos!J17-Datos!T17)/Datos!T17,(Datos!J17+Datos!AD17-(Datos!T17+Datos!AL17))/(Datos!T17+Datos!AL17))," - ")</f>
        <v>-7.1047957371225573E-2</v>
      </c>
      <c r="F17" s="393">
        <f>IF(ISNUMBER(
   IF(D_I="SI",(Datos!K17-Datos!U17)/Datos!U17,(Datos!K17+Datos!AE17-(Datos!U17+Datos!AM17))/(Datos!U17+Datos!AM17))
     ),IF(D_I="SI",(Datos!K17-Datos!U17)/Datos!U17,(Datos!K17+Datos!AE17-(Datos!U17+Datos!AM17))/(Datos!U17+Datos!AM17))," - ")</f>
        <v>0.11637080867850098</v>
      </c>
      <c r="G17" s="394">
        <f>IF(ISNUMBER(
   IF(D_I="SI",(Datos!L17-Datos!V17)/Datos!V17,(Datos!L17+Datos!AF17-(Datos!V17+Datos!AN17))/(Datos!V17+Datos!AN17))
     ),IF(D_I="SI",(Datos!L17-Datos!V17)/Datos!V17,(Datos!L17+Datos!AF17-(Datos!V17+Datos!AN17))/(Datos!V17+Datos!AN17))," - ")</f>
        <v>-8.3928571428571422E-2</v>
      </c>
      <c r="H17" s="244">
        <f>IF(ISNUMBER((Datos!M17-Datos!W17)/Datos!W17),(Datos!M17-Datos!W17)/Datos!W17," - ")</f>
        <v>-4.3165467625899283E-2</v>
      </c>
      <c r="I17" s="395">
        <f>IF(ISNUMBER((Tasas!C17-Datos!BE17)/Datos!BE17),(Tasas!C17-Datos!BE17)/Datos!BE17," - ")</f>
        <v>-0.17942011610297837</v>
      </c>
      <c r="J17" s="394">
        <f>IF(ISNUMBER((Tasas!D17-Datos!BF17)/Datos!BF17),(Tasas!D17-Datos!BF17)/Datos!BF17," - ")</f>
        <v>-0.14290616976383561</v>
      </c>
      <c r="K17" s="396">
        <f>IF(ISNUMBER((Tasas!E17-Datos!BG17)/Datos!BG17),(Tasas!E17-Datos!BG17)/Datos!BG17," - ")</f>
        <v>-0.13293991626552057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-0.125</v>
      </c>
      <c r="E18" s="393">
        <f>IF(ISNUMBER(
   IF(D_I="SI",(Datos!J18-Datos!T18)/Datos!T18,(Datos!J18+Datos!AD18-(Datos!T18+Datos!AL18))/(Datos!T18+Datos!AL18))
     ),IF(D_I="SI",(Datos!J18-Datos!T18)/Datos!T18,(Datos!J18+Datos!AD18-(Datos!T18+Datos!AL18))/(Datos!T18+Datos!AL18))," - ")</f>
        <v>3.6363636363636362E-2</v>
      </c>
      <c r="F18" s="393">
        <f>IF(ISNUMBER(
   IF(D_I="SI",(Datos!K18-Datos!U18)/Datos!U18,(Datos!K18+Datos!AE18-(Datos!U18+Datos!AM18))/(Datos!U18+Datos!AM18))
     ),IF(D_I="SI",(Datos!K18-Datos!U18)/Datos!U18,(Datos!K18+Datos!AE18-(Datos!U18+Datos!AM18))/(Datos!U18+Datos!AM18))," - ")</f>
        <v>-0.15942028985507245</v>
      </c>
      <c r="G18" s="394">
        <f>IF(ISNUMBER(
   IF(D_I="SI",(Datos!L18-Datos!V18)/Datos!V18,(Datos!L18+Datos!AF18-(Datos!V18+Datos!AN18))/(Datos!V18+Datos!AN18))
     ),IF(D_I="SI",(Datos!L18-Datos!V18)/Datos!V18,(Datos!L18+Datos!AF18-(Datos!V18+Datos!AN18))/(Datos!V18+Datos!AN18))," - ")</f>
        <v>5.7692307692307696E-2</v>
      </c>
      <c r="H18" s="244">
        <f>IF(ISNUMBER((Datos!M18-Datos!W18)/Datos!W18),(Datos!M18-Datos!W18)/Datos!W18," - ")</f>
        <v>-0.2857142857142857</v>
      </c>
      <c r="I18" s="395">
        <f>IF(ISNUMBER((Tasas!C18-Datos!BE18)/Datos!BE18),(Tasas!C18-Datos!BE18)/Datos!BE18," - ")</f>
        <v>0.25828912466843501</v>
      </c>
      <c r="J18" s="394">
        <f>IF(ISNUMBER((Tasas!D18-Datos!BF18)/Datos!BF18),(Tasas!D18-Datos!BF18)/Datos!BF18," - ")</f>
        <v>-0.15024630541871922</v>
      </c>
      <c r="K18" s="396">
        <f>IF(ISNUMBER((Tasas!E18-Datos!BG18)/Datos!BG18),(Tasas!E18-Datos!BG18)/Datos!BG18," - ")</f>
        <v>0.1296725586786438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-1.7793594306049824E-2</v>
      </c>
      <c r="E23" s="399">
        <f>IF(ISNUMBER(
   IF(D_I="SI",(Datos!J23-Datos!T23)/Datos!T23,(Datos!J23+Datos!AD23-(Datos!T23+Datos!AL23))/(Datos!T23+Datos!AL23))
     ),IF(D_I="SI",(Datos!J23-Datos!T23)/Datos!T23,(Datos!J23+Datos!AD23-(Datos!T23+Datos!AL23))/(Datos!T23+Datos!AL23))," - ")</f>
        <v>-6.1488673139158574E-2</v>
      </c>
      <c r="F23" s="399">
        <f>IF(ISNUMBER(
   IF(D_I="SI",(Datos!K23-Datos!U23)/Datos!U23,(Datos!K23+Datos!AE23-(Datos!U23+Datos!AM23))/(Datos!U23+Datos!AM23))
     ),IF(D_I="SI",(Datos!K23-Datos!U23)/Datos!U23,(Datos!K23+Datos!AE23-(Datos!U23+Datos!AM23))/(Datos!U23+Datos!AM23))," - ")</f>
        <v>8.3333333333333329E-2</v>
      </c>
      <c r="G23" s="400">
        <f>IF(ISNUMBER(
   IF(D_I="SI",(Datos!L23-Datos!V23)/Datos!V23,(Datos!L23+Datos!AF23-(Datos!V23+Datos!AN23))/(Datos!V23+Datos!AN23))
     ),IF(D_I="SI",(Datos!L23-Datos!V23)/Datos!V23,(Datos!L23+Datos!AF23-(Datos!V23+Datos!AN23))/(Datos!V23+Datos!AN23))," - ")</f>
        <v>-7.7645051194539252E-2</v>
      </c>
      <c r="H23" s="401">
        <f>IF(ISNUMBER((Datos!M23-Datos!W23)/Datos!W23),(Datos!M23-Datos!W23)/Datos!W23," - ")</f>
        <v>-5.4794520547945202E-2</v>
      </c>
      <c r="I23" s="402">
        <f>IF(ISNUMBER((Tasas!C23-Datos!BE23)/Datos!BE23),(Tasas!C23-Datos!BE23)/Datos!BE23," - ")</f>
        <v>-0.1485954318718824</v>
      </c>
      <c r="J23" s="400">
        <f>IF(ISNUMBER((Tasas!D23-Datos!BF23)/Datos!BF23),(Tasas!D23-Datos!BF23)/Datos!BF23," - ")</f>
        <v>-0.12750263435194942</v>
      </c>
      <c r="K23" s="403">
        <f>IF(ISNUMBER((Tasas!E23-Datos!BG23)/Datos!BG23),(Tasas!E23-Datos!BG23)/Datos!BG23," - ")</f>
        <v>-0.10765698136536242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-1.5594541910331383E-2</v>
      </c>
      <c r="E31" s="409">
        <f>IF(ISNUMBER(
   IF(J_V="SI",(Datos!J31-Datos!T31)/Datos!T31,(Datos!J31+Datos!Z31-(Datos!T31+Datos!AH31))/(Datos!T31+Datos!AH31))
     ),IF(J_V="SI",(Datos!J31-Datos!T31)/Datos!T31,(Datos!J31+Datos!Z31-(Datos!T31+Datos!AH31))/(Datos!T31+Datos!AH31))," - ")</f>
        <v>-3.4979423868312758E-2</v>
      </c>
      <c r="F31" s="409">
        <f>IF(ISNUMBER(
   IF(J_V="SI",(Datos!K31-Datos!U31)/Datos!U31,(Datos!K31+Datos!AA31-(Datos!U31+Datos!AI31))/(Datos!U31+Datos!AI31))
     ),IF(J_V="SI",(Datos!K31-Datos!U31)/Datos!U31,(Datos!K31+Datos!AA31-(Datos!U31+Datos!AI31))/(Datos!U31+Datos!AI31))," - ")</f>
        <v>-5.4794520547945202E-2</v>
      </c>
      <c r="G31" s="410">
        <f>IF(ISNUMBER(
   IF(J_V="SI",(Datos!L31-Datos!V31)/Datos!V31,(Datos!L31+Datos!AB31-(Datos!V31+Datos!AJ31))/(Datos!V31+Datos!AJ31))
     ),IF(J_V="SI",(Datos!L31-Datos!V31)/Datos!V31,(Datos!L31+Datos!AB31-(Datos!V31+Datos!AJ31))/(Datos!V31+Datos!AJ31))," - ")</f>
        <v>-3.4065102195306586E-3</v>
      </c>
      <c r="H31" s="411">
        <f>IF(ISNUMBER((Datos!M31-Datos!W31)/Datos!W31),(Datos!M31-Datos!W31)/Datos!W31," - ")</f>
        <v>-0.26424870466321243</v>
      </c>
      <c r="I31" s="408">
        <f>IF(ISNUMBER((Tasas!C31-Datos!BE31)/Datos!BE31),(Tasas!C31-Datos!BE31)/Datos!BE31," - ")</f>
        <v>5.4367025419916878E-2</v>
      </c>
      <c r="J31" s="409">
        <f>IF(ISNUMBER((Tasas!D31-Datos!BF31)/Datos!BF31),(Tasas!D31-Datos!BF31)/Datos!BF31," - ")</f>
        <v>-0.36744469870327989</v>
      </c>
      <c r="K31" s="410">
        <f>IF(ISNUMBER((Tasas!E31-Datos!BG31)/Datos!BG31),(Tasas!E31-Datos!BG31)/Datos!BG31," - ")</f>
        <v>3.4039778519887459E-2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0.26989843098720595</v>
      </c>
      <c r="E33" s="303">
        <f t="shared" si="1"/>
        <v>5.1116442298725986E-2</v>
      </c>
      <c r="F33" s="303">
        <f t="shared" si="1"/>
        <v>0.18019084577918706</v>
      </c>
      <c r="G33" s="304">
        <f t="shared" si="1"/>
        <v>0.34179695896356993</v>
      </c>
      <c r="H33" s="310">
        <f t="shared" si="1"/>
        <v>0.92610568234924029</v>
      </c>
      <c r="I33" s="302">
        <f t="shared" si="1"/>
        <v>0.49203477422262748</v>
      </c>
      <c r="J33" s="303">
        <f t="shared" si="1"/>
        <v>1.3480789778801767</v>
      </c>
      <c r="K33" s="304">
        <f t="shared" si="1"/>
        <v>0.32374358051612001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7LvuzTb3lGURSxPAUDmjDfUQuhG4q3mgtnwrUGOgrrSoEu6OikHHuk2cCTSHbWS5DP+f/6eN7xXqvf/ED4X/vA==" saltValue="EuhdjOVmT47Y3fwy7Bq3Z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2023-05-05T19:14:17Z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